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E:\FIRDEG\"/>
    </mc:Choice>
  </mc:AlternateContent>
  <bookViews>
    <workbookView xWindow="0" yWindow="0" windowWidth="28800" windowHeight="11595" tabRatio="967" firstSheet="3" activeTab="30"/>
  </bookViews>
  <sheets>
    <sheet name="Ekran" sheetId="47" r:id="rId1"/>
    <sheet name="Web" sheetId="33" r:id="rId2"/>
    <sheet name="UFRS" sheetId="1" r:id="rId3"/>
    <sheet name="VUK" sheetId="35" r:id="rId4"/>
    <sheet name="Mali" sheetId="8" r:id="rId5"/>
    <sheet name="OMali" sheetId="41" r:id="rId6"/>
    <sheet name="Duz" sheetId="7" r:id="rId7"/>
    <sheet name="Adj (2)" sheetId="39" state="hidden" r:id="rId8"/>
    <sheet name="Vars" sheetId="9" r:id="rId9"/>
    <sheet name="DokYon" sheetId="55" r:id="rId10"/>
    <sheet name="ZSkor" sheetId="51" r:id="rId11"/>
    <sheet name="Sales" sheetId="3" r:id="rId12"/>
    <sheet name="CoS" sheetId="22" r:id="rId13"/>
    <sheet name="Opex" sheetId="23" r:id="rId14"/>
    <sheet name="Othex" sheetId="43" r:id="rId15"/>
    <sheet name="WCR" sheetId="25" r:id="rId16"/>
    <sheet name="Dep,Amort&amp;Capex" sheetId="27" r:id="rId17"/>
    <sheet name="Cash" sheetId="45" r:id="rId18"/>
    <sheet name="Debt" sheetId="46" r:id="rId19"/>
    <sheet name="PBL" sheetId="37" r:id="rId20"/>
    <sheet name="PGT" sheetId="42" r:id="rId21"/>
    <sheet name="Dividant" sheetId="44" r:id="rId22"/>
    <sheet name="CFS" sheetId="50" r:id="rId23"/>
    <sheet name="FR yok" sheetId="26" r:id="rId24"/>
    <sheet name="Control yok" sheetId="36" r:id="rId25"/>
    <sheet name="Beta" sheetId="28" r:id="rId26"/>
    <sheet name="CoD" sheetId="29" r:id="rId27"/>
    <sheet name="WACC" sheetId="30" r:id="rId28"/>
    <sheet name="DCF sonuc" sheetId="2" r:id="rId29"/>
    <sheet name="RV" sheetId="31" r:id="rId30"/>
    <sheet name="CV" sheetId="32" r:id="rId31"/>
    <sheet name="Deger" sheetId="54" r:id="rId32"/>
    <sheet name="FDA" sheetId="53" r:id="rId33"/>
    <sheet name="Oku" sheetId="52" r:id="rId34"/>
  </sheets>
  <externalReferences>
    <externalReference r:id="rId35"/>
  </externalReferences>
  <definedNames>
    <definedName name="close">[1]Inputs!$E$44</definedName>
    <definedName name="curr">[1]Inputs!$E$46</definedName>
  </definedNames>
  <calcPr calcId="162913"/>
</workbook>
</file>

<file path=xl/calcChain.xml><?xml version="1.0" encoding="utf-8"?>
<calcChain xmlns="http://schemas.openxmlformats.org/spreadsheetml/2006/main">
  <c r="F17" i="23" l="1"/>
  <c r="E20" i="28" l="1"/>
  <c r="F20" i="28" s="1"/>
  <c r="G20" i="28" s="1"/>
  <c r="H20" i="28" s="1"/>
  <c r="I20" i="28" s="1"/>
  <c r="J20" i="28" s="1"/>
  <c r="K20" i="28" s="1"/>
  <c r="L20" i="28" s="1"/>
  <c r="M20" i="28" s="1"/>
  <c r="N20" i="28" s="1"/>
  <c r="E10" i="28"/>
  <c r="E9" i="28"/>
  <c r="E8" i="28"/>
  <c r="E7" i="28"/>
  <c r="E6" i="28"/>
  <c r="I51" i="26"/>
  <c r="J51" i="26"/>
  <c r="E51" i="26"/>
  <c r="F51" i="26"/>
  <c r="C51" i="26"/>
  <c r="D51" i="26"/>
  <c r="G51" i="26"/>
  <c r="H51" i="26"/>
  <c r="E11" i="28" l="1"/>
  <c r="D22" i="28" s="1"/>
  <c r="E22" i="28" s="1"/>
  <c r="F22" i="28" l="1"/>
  <c r="G22" i="28" l="1"/>
  <c r="J18" i="33"/>
  <c r="J17" i="33"/>
  <c r="I17" i="33" s="1"/>
  <c r="H17" i="33" s="1"/>
  <c r="G17" i="33" s="1"/>
  <c r="F17" i="33" s="1"/>
  <c r="E17" i="33" s="1"/>
  <c r="D17" i="33" s="1"/>
  <c r="L5" i="51"/>
  <c r="K5" i="51" s="1"/>
  <c r="J5" i="51" s="1"/>
  <c r="I18" i="33" l="1"/>
  <c r="H22" i="28"/>
  <c r="J56" i="50"/>
  <c r="I56" i="50"/>
  <c r="H56" i="50"/>
  <c r="G56" i="50"/>
  <c r="F56" i="50"/>
  <c r="E56" i="50"/>
  <c r="H18" i="33" l="1"/>
  <c r="I22" i="28"/>
  <c r="D56" i="50"/>
  <c r="J48" i="50"/>
  <c r="I48" i="50"/>
  <c r="H48" i="50"/>
  <c r="G48" i="50"/>
  <c r="F48" i="50"/>
  <c r="E48" i="50"/>
  <c r="D48" i="50"/>
  <c r="C48" i="50"/>
  <c r="J44" i="50"/>
  <c r="I44" i="50"/>
  <c r="H44" i="50"/>
  <c r="G44" i="50"/>
  <c r="F44" i="50"/>
  <c r="E44" i="50"/>
  <c r="D44" i="50"/>
  <c r="C44" i="50"/>
  <c r="J43" i="50"/>
  <c r="I43" i="50"/>
  <c r="I42" i="50" s="1"/>
  <c r="H43" i="50"/>
  <c r="G43" i="50"/>
  <c r="F43" i="50"/>
  <c r="F42" i="50" s="1"/>
  <c r="E43" i="50"/>
  <c r="E42" i="50" s="1"/>
  <c r="D43" i="50"/>
  <c r="D42" i="50" s="1"/>
  <c r="C43" i="50"/>
  <c r="J42" i="50"/>
  <c r="J40" i="50"/>
  <c r="I40" i="50"/>
  <c r="H40" i="50"/>
  <c r="G40" i="50"/>
  <c r="F40" i="50"/>
  <c r="E40" i="50"/>
  <c r="D40" i="50"/>
  <c r="C40" i="50"/>
  <c r="J39" i="50"/>
  <c r="I39" i="50"/>
  <c r="H39" i="50"/>
  <c r="G39" i="50"/>
  <c r="F39" i="50"/>
  <c r="E39" i="50"/>
  <c r="D39" i="50"/>
  <c r="C39" i="50"/>
  <c r="J38" i="50"/>
  <c r="I38" i="50"/>
  <c r="H38" i="50"/>
  <c r="G38" i="50"/>
  <c r="F38" i="50"/>
  <c r="E38" i="50"/>
  <c r="D38" i="50"/>
  <c r="C38" i="50"/>
  <c r="J37" i="50"/>
  <c r="I37" i="50"/>
  <c r="H37" i="50"/>
  <c r="G37" i="50"/>
  <c r="F37" i="50"/>
  <c r="E37" i="50"/>
  <c r="D37" i="50"/>
  <c r="C37" i="50"/>
  <c r="J36" i="50"/>
  <c r="I36" i="50"/>
  <c r="H36" i="50"/>
  <c r="G36" i="50"/>
  <c r="F36" i="50"/>
  <c r="E36" i="50"/>
  <c r="D36" i="50"/>
  <c r="C36" i="50"/>
  <c r="J35" i="50"/>
  <c r="I35" i="50"/>
  <c r="H35" i="50"/>
  <c r="G35" i="50"/>
  <c r="F35" i="50"/>
  <c r="E35" i="50"/>
  <c r="D35" i="50"/>
  <c r="C35" i="50"/>
  <c r="J34" i="50"/>
  <c r="I34" i="50"/>
  <c r="H34" i="50"/>
  <c r="G34" i="50"/>
  <c r="F34" i="50"/>
  <c r="E34" i="50"/>
  <c r="D34" i="50"/>
  <c r="C34" i="50"/>
  <c r="J33" i="50"/>
  <c r="J41" i="50" s="1"/>
  <c r="I33" i="50"/>
  <c r="H33" i="50"/>
  <c r="H41" i="50" s="1"/>
  <c r="G33" i="50"/>
  <c r="F33" i="50"/>
  <c r="F41" i="50" s="1"/>
  <c r="E33" i="50"/>
  <c r="D33" i="50"/>
  <c r="C33" i="50"/>
  <c r="C41" i="50" s="1"/>
  <c r="J31" i="50"/>
  <c r="I31" i="50"/>
  <c r="H31" i="50"/>
  <c r="G31" i="50"/>
  <c r="F31" i="50"/>
  <c r="E31" i="50"/>
  <c r="D31" i="50"/>
  <c r="C31" i="50"/>
  <c r="J30" i="50"/>
  <c r="I30" i="50"/>
  <c r="H30" i="50"/>
  <c r="G30" i="50"/>
  <c r="F30" i="50"/>
  <c r="E30" i="50"/>
  <c r="D30" i="50"/>
  <c r="C30" i="50"/>
  <c r="J29" i="50"/>
  <c r="I29" i="50"/>
  <c r="H29" i="50"/>
  <c r="G29" i="50"/>
  <c r="F29" i="50"/>
  <c r="E29" i="50"/>
  <c r="D29" i="50"/>
  <c r="C29" i="50"/>
  <c r="J28" i="50"/>
  <c r="I28" i="50"/>
  <c r="H28" i="50"/>
  <c r="G28" i="50"/>
  <c r="F28" i="50"/>
  <c r="E28" i="50"/>
  <c r="D28" i="50"/>
  <c r="C28" i="50"/>
  <c r="J27" i="50"/>
  <c r="I27" i="50"/>
  <c r="H27" i="50"/>
  <c r="G27" i="50"/>
  <c r="F27" i="50"/>
  <c r="E27" i="50"/>
  <c r="D27" i="50"/>
  <c r="C27" i="50"/>
  <c r="J26" i="50"/>
  <c r="I26" i="50"/>
  <c r="H26" i="50"/>
  <c r="G26" i="50"/>
  <c r="F26" i="50"/>
  <c r="E26" i="50"/>
  <c r="D26" i="50"/>
  <c r="C26" i="50"/>
  <c r="J25" i="50"/>
  <c r="I25" i="50"/>
  <c r="H25" i="50"/>
  <c r="H32" i="50" s="1"/>
  <c r="G25" i="50"/>
  <c r="F25" i="50"/>
  <c r="F32" i="50" s="1"/>
  <c r="E25" i="50"/>
  <c r="D25" i="50"/>
  <c r="C25" i="50"/>
  <c r="R24" i="50"/>
  <c r="Q24" i="50"/>
  <c r="P24" i="50"/>
  <c r="O24" i="50"/>
  <c r="N24" i="50"/>
  <c r="M24" i="50"/>
  <c r="L24" i="50"/>
  <c r="J21" i="50"/>
  <c r="I21" i="50"/>
  <c r="H21" i="50"/>
  <c r="G21" i="50"/>
  <c r="F21" i="50"/>
  <c r="E21" i="50"/>
  <c r="D21" i="50"/>
  <c r="C21" i="50"/>
  <c r="J20" i="50"/>
  <c r="I20" i="50"/>
  <c r="H20" i="50"/>
  <c r="G20" i="50"/>
  <c r="F20" i="50"/>
  <c r="E20" i="50"/>
  <c r="D20" i="50"/>
  <c r="C20" i="50"/>
  <c r="J19" i="50"/>
  <c r="I19" i="50"/>
  <c r="H19" i="50"/>
  <c r="G19" i="50"/>
  <c r="F19" i="50"/>
  <c r="E19" i="50"/>
  <c r="D19" i="50"/>
  <c r="C19" i="50"/>
  <c r="J18" i="50"/>
  <c r="I18" i="50"/>
  <c r="H18" i="50"/>
  <c r="G18" i="50"/>
  <c r="F18" i="50"/>
  <c r="E18" i="50"/>
  <c r="D18" i="50"/>
  <c r="C18" i="50"/>
  <c r="J17" i="50"/>
  <c r="I17" i="50"/>
  <c r="H17" i="50"/>
  <c r="G17" i="50"/>
  <c r="F17" i="50"/>
  <c r="E17" i="50"/>
  <c r="D17" i="50"/>
  <c r="C17" i="50"/>
  <c r="J16" i="50"/>
  <c r="I16" i="50"/>
  <c r="H16" i="50"/>
  <c r="G16" i="50"/>
  <c r="F16" i="50"/>
  <c r="E16" i="50"/>
  <c r="D16" i="50"/>
  <c r="C16" i="50"/>
  <c r="J15" i="50"/>
  <c r="I15" i="50"/>
  <c r="H15" i="50"/>
  <c r="G15" i="50"/>
  <c r="F15" i="50"/>
  <c r="E15" i="50"/>
  <c r="D15" i="50"/>
  <c r="C15" i="50"/>
  <c r="J14" i="50"/>
  <c r="I14" i="50"/>
  <c r="H14" i="50"/>
  <c r="G14" i="50"/>
  <c r="F14" i="50"/>
  <c r="E14" i="50"/>
  <c r="D14" i="50"/>
  <c r="C14" i="50"/>
  <c r="J13" i="50"/>
  <c r="I13" i="50"/>
  <c r="H13" i="50"/>
  <c r="G13" i="50"/>
  <c r="F13" i="50"/>
  <c r="E13" i="50"/>
  <c r="D13" i="50"/>
  <c r="C13" i="50"/>
  <c r="J11" i="50"/>
  <c r="I11" i="50"/>
  <c r="H11" i="50"/>
  <c r="G11" i="50"/>
  <c r="F11" i="50"/>
  <c r="E11" i="50"/>
  <c r="D11" i="50"/>
  <c r="C11" i="50"/>
  <c r="J10" i="50"/>
  <c r="I10" i="50"/>
  <c r="H10" i="50"/>
  <c r="G10" i="50"/>
  <c r="F10" i="50"/>
  <c r="E10" i="50"/>
  <c r="D10" i="50"/>
  <c r="C10" i="50"/>
  <c r="J9" i="50"/>
  <c r="I9" i="50"/>
  <c r="H9" i="50"/>
  <c r="G9" i="50"/>
  <c r="F9" i="50"/>
  <c r="E9" i="50"/>
  <c r="D9" i="50"/>
  <c r="C9" i="50"/>
  <c r="J8" i="50"/>
  <c r="I8" i="50"/>
  <c r="H8" i="50"/>
  <c r="G8" i="50"/>
  <c r="F8" i="50"/>
  <c r="E8" i="50"/>
  <c r="D8" i="50"/>
  <c r="C8" i="50"/>
  <c r="J7" i="50"/>
  <c r="I7" i="50"/>
  <c r="H7" i="50"/>
  <c r="G7" i="50"/>
  <c r="F7" i="50"/>
  <c r="E7" i="50"/>
  <c r="D7" i="50"/>
  <c r="C7" i="50"/>
  <c r="J6" i="50"/>
  <c r="I6" i="50"/>
  <c r="H6" i="50"/>
  <c r="G6" i="50"/>
  <c r="F6" i="50"/>
  <c r="E6" i="50"/>
  <c r="D6" i="50"/>
  <c r="C6" i="50"/>
  <c r="J5" i="50"/>
  <c r="J110" i="50" s="1"/>
  <c r="I5" i="50"/>
  <c r="H5" i="50"/>
  <c r="G5" i="50"/>
  <c r="F5" i="50"/>
  <c r="E5" i="50"/>
  <c r="D5" i="50"/>
  <c r="C5" i="50"/>
  <c r="J4" i="50"/>
  <c r="J12" i="50" s="1"/>
  <c r="I4" i="50"/>
  <c r="H4" i="50"/>
  <c r="G4" i="50"/>
  <c r="F4" i="50"/>
  <c r="E4" i="50"/>
  <c r="E12" i="50" s="1"/>
  <c r="D4" i="50"/>
  <c r="C4" i="50"/>
  <c r="J3" i="50"/>
  <c r="R3" i="50" s="1"/>
  <c r="I3" i="50"/>
  <c r="I53" i="50" s="1"/>
  <c r="H3" i="50"/>
  <c r="P3" i="50" s="1"/>
  <c r="G3" i="50"/>
  <c r="G53" i="50" s="1"/>
  <c r="F3" i="50"/>
  <c r="N3" i="50" s="1"/>
  <c r="E3" i="50"/>
  <c r="M3" i="50" s="1"/>
  <c r="D3" i="50"/>
  <c r="L3" i="50" s="1"/>
  <c r="C3" i="50"/>
  <c r="C53" i="50" s="1"/>
  <c r="D109" i="50" l="1"/>
  <c r="D12" i="50"/>
  <c r="M12" i="50" s="1"/>
  <c r="E65" i="50" s="1"/>
  <c r="E41" i="50"/>
  <c r="N41" i="50" s="1"/>
  <c r="F88" i="50" s="1"/>
  <c r="F12" i="50"/>
  <c r="N12" i="50" s="1"/>
  <c r="F65" i="50" s="1"/>
  <c r="H42" i="50"/>
  <c r="I12" i="50"/>
  <c r="I41" i="50"/>
  <c r="Q41" i="50" s="1"/>
  <c r="I88" i="50" s="1"/>
  <c r="G41" i="50"/>
  <c r="P41" i="50" s="1"/>
  <c r="H88" i="50" s="1"/>
  <c r="J32" i="50"/>
  <c r="D41" i="50"/>
  <c r="D32" i="50"/>
  <c r="G18" i="33"/>
  <c r="F18" i="33" s="1"/>
  <c r="E18" i="33" s="1"/>
  <c r="D18" i="33" s="1"/>
  <c r="J22" i="28"/>
  <c r="F109" i="50"/>
  <c r="E110" i="50"/>
  <c r="J109" i="50"/>
  <c r="J111" i="50" s="1"/>
  <c r="I110" i="50"/>
  <c r="F110" i="50"/>
  <c r="G109" i="50"/>
  <c r="G110" i="50"/>
  <c r="H109" i="50"/>
  <c r="D110" i="50"/>
  <c r="E109" i="50"/>
  <c r="E111" i="50" s="1"/>
  <c r="H110" i="50"/>
  <c r="I109" i="50"/>
  <c r="N44" i="50"/>
  <c r="R44" i="50"/>
  <c r="N48" i="50"/>
  <c r="F106" i="50" s="1"/>
  <c r="R48" i="50"/>
  <c r="J106" i="50" s="1"/>
  <c r="L43" i="50"/>
  <c r="P43" i="50"/>
  <c r="L44" i="50"/>
  <c r="P44" i="50"/>
  <c r="L48" i="50"/>
  <c r="D106" i="50" s="1"/>
  <c r="P48" i="50"/>
  <c r="H106" i="50" s="1"/>
  <c r="O20" i="50"/>
  <c r="G78" i="50" s="1"/>
  <c r="O21" i="50"/>
  <c r="G79" i="50" s="1"/>
  <c r="L26" i="50"/>
  <c r="D102" i="50" s="1"/>
  <c r="P26" i="50"/>
  <c r="H102" i="50" s="1"/>
  <c r="L27" i="50"/>
  <c r="D67" i="50" s="1"/>
  <c r="P27" i="50"/>
  <c r="H67" i="50" s="1"/>
  <c r="L28" i="50"/>
  <c r="D68" i="50" s="1"/>
  <c r="P28" i="50"/>
  <c r="H68" i="50" s="1"/>
  <c r="L29" i="50"/>
  <c r="D69" i="50" s="1"/>
  <c r="P29" i="50"/>
  <c r="H69" i="50" s="1"/>
  <c r="L30" i="50"/>
  <c r="D70" i="50" s="1"/>
  <c r="P30" i="50"/>
  <c r="H70" i="50" s="1"/>
  <c r="L31" i="50"/>
  <c r="D71" i="50" s="1"/>
  <c r="P31" i="50"/>
  <c r="H71" i="50" s="1"/>
  <c r="L34" i="50"/>
  <c r="D103" i="50" s="1"/>
  <c r="P34" i="50"/>
  <c r="H103" i="50" s="1"/>
  <c r="L35" i="50"/>
  <c r="D82" i="50" s="1"/>
  <c r="P35" i="50"/>
  <c r="H82" i="50" s="1"/>
  <c r="L36" i="50"/>
  <c r="D83" i="50" s="1"/>
  <c r="P36" i="50"/>
  <c r="H83" i="50" s="1"/>
  <c r="L37" i="50"/>
  <c r="D84" i="50" s="1"/>
  <c r="P37" i="50"/>
  <c r="H84" i="50" s="1"/>
  <c r="L38" i="50"/>
  <c r="D85" i="50" s="1"/>
  <c r="P38" i="50"/>
  <c r="H85" i="50" s="1"/>
  <c r="L39" i="50"/>
  <c r="D86" i="50" s="1"/>
  <c r="P39" i="50"/>
  <c r="H86" i="50" s="1"/>
  <c r="L40" i="50"/>
  <c r="D87" i="50" s="1"/>
  <c r="P40" i="50"/>
  <c r="H87" i="50" s="1"/>
  <c r="M18" i="50"/>
  <c r="Q18" i="50"/>
  <c r="M20" i="50"/>
  <c r="E78" i="50" s="1"/>
  <c r="Q20" i="50"/>
  <c r="I78" i="50" s="1"/>
  <c r="M21" i="50"/>
  <c r="E79" i="50" s="1"/>
  <c r="Q21" i="50"/>
  <c r="I79" i="50" s="1"/>
  <c r="N27" i="50"/>
  <c r="F67" i="50" s="1"/>
  <c r="R27" i="50"/>
  <c r="J67" i="50" s="1"/>
  <c r="N28" i="50"/>
  <c r="F68" i="50" s="1"/>
  <c r="R28" i="50"/>
  <c r="J68" i="50" s="1"/>
  <c r="N29" i="50"/>
  <c r="F69" i="50" s="1"/>
  <c r="R29" i="50"/>
  <c r="J69" i="50" s="1"/>
  <c r="N30" i="50"/>
  <c r="F70" i="50" s="1"/>
  <c r="R30" i="50"/>
  <c r="J70" i="50" s="1"/>
  <c r="N31" i="50"/>
  <c r="F71" i="50" s="1"/>
  <c r="R31" i="50"/>
  <c r="J71" i="50" s="1"/>
  <c r="N34" i="50"/>
  <c r="F103" i="50" s="1"/>
  <c r="R34" i="50"/>
  <c r="J103" i="50" s="1"/>
  <c r="N35" i="50"/>
  <c r="F82" i="50" s="1"/>
  <c r="R35" i="50"/>
  <c r="J82" i="50" s="1"/>
  <c r="N36" i="50"/>
  <c r="F83" i="50" s="1"/>
  <c r="R36" i="50"/>
  <c r="J83" i="50" s="1"/>
  <c r="N37" i="50"/>
  <c r="F84" i="50" s="1"/>
  <c r="R37" i="50"/>
  <c r="J84" i="50" s="1"/>
  <c r="N38" i="50"/>
  <c r="F85" i="50" s="1"/>
  <c r="R38" i="50"/>
  <c r="J85" i="50" s="1"/>
  <c r="N39" i="50"/>
  <c r="F86" i="50" s="1"/>
  <c r="R39" i="50"/>
  <c r="J86" i="50" s="1"/>
  <c r="N40" i="50"/>
  <c r="F87" i="50" s="1"/>
  <c r="R40" i="50"/>
  <c r="J87" i="50" s="1"/>
  <c r="L5" i="50"/>
  <c r="P5" i="50"/>
  <c r="L6" i="50"/>
  <c r="P6" i="50"/>
  <c r="L7" i="50"/>
  <c r="D60" i="50" s="1"/>
  <c r="P7" i="50"/>
  <c r="H60" i="50" s="1"/>
  <c r="L8" i="50"/>
  <c r="D61" i="50" s="1"/>
  <c r="P8" i="50"/>
  <c r="H61" i="50" s="1"/>
  <c r="L9" i="50"/>
  <c r="D62" i="50" s="1"/>
  <c r="P9" i="50"/>
  <c r="H62" i="50" s="1"/>
  <c r="L15" i="50"/>
  <c r="D77" i="50" s="1"/>
  <c r="P15" i="50"/>
  <c r="H77" i="50" s="1"/>
  <c r="L16" i="50"/>
  <c r="D95" i="50" s="1"/>
  <c r="P16" i="50"/>
  <c r="H95" i="50" s="1"/>
  <c r="N5" i="50"/>
  <c r="R5" i="50"/>
  <c r="N6" i="50"/>
  <c r="R6" i="50"/>
  <c r="N7" i="50"/>
  <c r="F60" i="50" s="1"/>
  <c r="R7" i="50"/>
  <c r="J60" i="50" s="1"/>
  <c r="N8" i="50"/>
  <c r="F61" i="50" s="1"/>
  <c r="R8" i="50"/>
  <c r="J61" i="50" s="1"/>
  <c r="N9" i="50"/>
  <c r="F62" i="50" s="1"/>
  <c r="R9" i="50"/>
  <c r="J62" i="50" s="1"/>
  <c r="N13" i="50"/>
  <c r="R13" i="50"/>
  <c r="N15" i="50"/>
  <c r="F77" i="50" s="1"/>
  <c r="R15" i="50"/>
  <c r="J77" i="50" s="1"/>
  <c r="N16" i="50"/>
  <c r="F95" i="50" s="1"/>
  <c r="R16" i="50"/>
  <c r="J95" i="50" s="1"/>
  <c r="N19" i="50"/>
  <c r="R19" i="50"/>
  <c r="R21" i="50"/>
  <c r="J79" i="50" s="1"/>
  <c r="L19" i="50"/>
  <c r="P19" i="50"/>
  <c r="O3" i="50"/>
  <c r="O10" i="50"/>
  <c r="G63" i="50" s="1"/>
  <c r="P11" i="50"/>
  <c r="H64" i="50" s="1"/>
  <c r="O17" i="50"/>
  <c r="G96" i="50" s="1"/>
  <c r="O18" i="50"/>
  <c r="Q3" i="50"/>
  <c r="O5" i="50"/>
  <c r="O6" i="50"/>
  <c r="O7" i="50"/>
  <c r="G60" i="50" s="1"/>
  <c r="O8" i="50"/>
  <c r="G61" i="50" s="1"/>
  <c r="O9" i="50"/>
  <c r="G62" i="50" s="1"/>
  <c r="M10" i="50"/>
  <c r="E63" i="50" s="1"/>
  <c r="Q10" i="50"/>
  <c r="I63" i="50" s="1"/>
  <c r="L11" i="50"/>
  <c r="D64" i="50" s="1"/>
  <c r="M14" i="50"/>
  <c r="E76" i="50" s="1"/>
  <c r="Q14" i="50"/>
  <c r="I76" i="50" s="1"/>
  <c r="Q16" i="50"/>
  <c r="I95" i="50" s="1"/>
  <c r="L17" i="50"/>
  <c r="D96" i="50" s="1"/>
  <c r="P17" i="50"/>
  <c r="H96" i="50" s="1"/>
  <c r="L18" i="50"/>
  <c r="P18" i="50"/>
  <c r="O19" i="50"/>
  <c r="N20" i="50"/>
  <c r="F78" i="50" s="1"/>
  <c r="R20" i="50"/>
  <c r="J78" i="50" s="1"/>
  <c r="N21" i="50"/>
  <c r="F79" i="50" s="1"/>
  <c r="E32" i="50"/>
  <c r="I32" i="50"/>
  <c r="Q32" i="50" s="1"/>
  <c r="I72" i="50" s="1"/>
  <c r="M26" i="50"/>
  <c r="E102" i="50" s="1"/>
  <c r="Q26" i="50"/>
  <c r="I102" i="50" s="1"/>
  <c r="M27" i="50"/>
  <c r="E67" i="50" s="1"/>
  <c r="Q27" i="50"/>
  <c r="I67" i="50" s="1"/>
  <c r="M28" i="50"/>
  <c r="E68" i="50" s="1"/>
  <c r="Q28" i="50"/>
  <c r="I68" i="50" s="1"/>
  <c r="M29" i="50"/>
  <c r="E69" i="50" s="1"/>
  <c r="Q29" i="50"/>
  <c r="I69" i="50" s="1"/>
  <c r="M30" i="50"/>
  <c r="E70" i="50" s="1"/>
  <c r="Q30" i="50"/>
  <c r="I70" i="50" s="1"/>
  <c r="M31" i="50"/>
  <c r="E71" i="50" s="1"/>
  <c r="Q31" i="50"/>
  <c r="I71" i="50" s="1"/>
  <c r="M34" i="50"/>
  <c r="E103" i="50" s="1"/>
  <c r="Q34" i="50"/>
  <c r="I103" i="50" s="1"/>
  <c r="M35" i="50"/>
  <c r="E82" i="50" s="1"/>
  <c r="Q35" i="50"/>
  <c r="I82" i="50" s="1"/>
  <c r="M36" i="50"/>
  <c r="E83" i="50" s="1"/>
  <c r="Q36" i="50"/>
  <c r="I83" i="50" s="1"/>
  <c r="M37" i="50"/>
  <c r="E84" i="50" s="1"/>
  <c r="Q37" i="50"/>
  <c r="I84" i="50" s="1"/>
  <c r="M38" i="50"/>
  <c r="E85" i="50" s="1"/>
  <c r="Q38" i="50"/>
  <c r="I85" i="50" s="1"/>
  <c r="M39" i="50"/>
  <c r="E86" i="50" s="1"/>
  <c r="Q39" i="50"/>
  <c r="I86" i="50" s="1"/>
  <c r="M40" i="50"/>
  <c r="E87" i="50" s="1"/>
  <c r="Q40" i="50"/>
  <c r="I87" i="50" s="1"/>
  <c r="M43" i="50"/>
  <c r="Q43" i="50"/>
  <c r="M44" i="50"/>
  <c r="Q44" i="50"/>
  <c r="M48" i="50"/>
  <c r="E106" i="50" s="1"/>
  <c r="Q48" i="50"/>
  <c r="I106" i="50" s="1"/>
  <c r="D53" i="50"/>
  <c r="H53" i="50"/>
  <c r="G23" i="50"/>
  <c r="H49" i="50"/>
  <c r="E53" i="50"/>
  <c r="H12" i="50"/>
  <c r="Q12" i="50" s="1"/>
  <c r="I65" i="50" s="1"/>
  <c r="M5" i="50"/>
  <c r="Q5" i="50"/>
  <c r="M6" i="50"/>
  <c r="Q6" i="50"/>
  <c r="M7" i="50"/>
  <c r="E60" i="50" s="1"/>
  <c r="Q7" i="50"/>
  <c r="I60" i="50" s="1"/>
  <c r="M8" i="50"/>
  <c r="E61" i="50" s="1"/>
  <c r="M9" i="50"/>
  <c r="E62" i="50" s="1"/>
  <c r="Q9" i="50"/>
  <c r="I62" i="50" s="1"/>
  <c r="N11" i="50"/>
  <c r="F64" i="50" s="1"/>
  <c r="R11" i="50"/>
  <c r="J64" i="50" s="1"/>
  <c r="M13" i="50"/>
  <c r="Q13" i="50"/>
  <c r="O14" i="50"/>
  <c r="G76" i="50" s="1"/>
  <c r="J22" i="50"/>
  <c r="O16" i="50"/>
  <c r="G95" i="50" s="1"/>
  <c r="N17" i="50"/>
  <c r="F96" i="50" s="1"/>
  <c r="R17" i="50"/>
  <c r="J96" i="50" s="1"/>
  <c r="N18" i="50"/>
  <c r="R18" i="50"/>
  <c r="M19" i="50"/>
  <c r="Q19" i="50"/>
  <c r="L21" i="50"/>
  <c r="D79" i="50" s="1"/>
  <c r="P21" i="50"/>
  <c r="H79" i="50" s="1"/>
  <c r="C32" i="50"/>
  <c r="G32" i="50"/>
  <c r="O32" i="50" s="1"/>
  <c r="G72" i="50" s="1"/>
  <c r="R25" i="50"/>
  <c r="O26" i="50"/>
  <c r="G102" i="50" s="1"/>
  <c r="O27" i="50"/>
  <c r="G67" i="50" s="1"/>
  <c r="O28" i="50"/>
  <c r="G68" i="50" s="1"/>
  <c r="O29" i="50"/>
  <c r="G69" i="50" s="1"/>
  <c r="O30" i="50"/>
  <c r="G70" i="50" s="1"/>
  <c r="O31" i="50"/>
  <c r="G71" i="50" s="1"/>
  <c r="O41" i="50"/>
  <c r="G88" i="50" s="1"/>
  <c r="O34" i="50"/>
  <c r="G103" i="50" s="1"/>
  <c r="O35" i="50"/>
  <c r="G82" i="50" s="1"/>
  <c r="O36" i="50"/>
  <c r="G83" i="50" s="1"/>
  <c r="O37" i="50"/>
  <c r="G84" i="50" s="1"/>
  <c r="O38" i="50"/>
  <c r="G85" i="50" s="1"/>
  <c r="O39" i="50"/>
  <c r="G86" i="50" s="1"/>
  <c r="O40" i="50"/>
  <c r="G87" i="50" s="1"/>
  <c r="J49" i="50"/>
  <c r="O43" i="50"/>
  <c r="O44" i="50"/>
  <c r="O48" i="50"/>
  <c r="G106" i="50" s="1"/>
  <c r="F53" i="50"/>
  <c r="J53" i="50"/>
  <c r="M16" i="50"/>
  <c r="E95" i="50" s="1"/>
  <c r="D49" i="50"/>
  <c r="L10" i="50"/>
  <c r="P10" i="50"/>
  <c r="H63" i="50" s="1"/>
  <c r="M11" i="50"/>
  <c r="E64" i="50" s="1"/>
  <c r="Q11" i="50"/>
  <c r="I64" i="50" s="1"/>
  <c r="E22" i="50"/>
  <c r="E23" i="50"/>
  <c r="I22" i="50"/>
  <c r="I23" i="50"/>
  <c r="P13" i="50"/>
  <c r="N14" i="50"/>
  <c r="F76" i="50" s="1"/>
  <c r="R14" i="50"/>
  <c r="J76" i="50" s="1"/>
  <c r="O15" i="50"/>
  <c r="G77" i="50" s="1"/>
  <c r="M17" i="50"/>
  <c r="E96" i="50" s="1"/>
  <c r="Q17" i="50"/>
  <c r="I96" i="50" s="1"/>
  <c r="L20" i="50"/>
  <c r="D78" i="50" s="1"/>
  <c r="P20" i="50"/>
  <c r="H78" i="50" s="1"/>
  <c r="F22" i="50"/>
  <c r="R12" i="50"/>
  <c r="J65" i="50" s="1"/>
  <c r="F23" i="50"/>
  <c r="J23" i="50"/>
  <c r="N10" i="50"/>
  <c r="F63" i="50" s="1"/>
  <c r="R10" i="50"/>
  <c r="J63" i="50" s="1"/>
  <c r="O11" i="50"/>
  <c r="G64" i="50" s="1"/>
  <c r="C22" i="50"/>
  <c r="G22" i="50"/>
  <c r="L13" i="50"/>
  <c r="L14" i="50"/>
  <c r="D76" i="50" s="1"/>
  <c r="P14" i="50"/>
  <c r="H76" i="50" s="1"/>
  <c r="M15" i="50"/>
  <c r="E77" i="50" s="1"/>
  <c r="Q15" i="50"/>
  <c r="I77" i="50" s="1"/>
  <c r="N25" i="50"/>
  <c r="N26" i="50"/>
  <c r="F102" i="50" s="1"/>
  <c r="R26" i="50"/>
  <c r="J102" i="50" s="1"/>
  <c r="R41" i="50"/>
  <c r="J88" i="50" s="1"/>
  <c r="E49" i="50"/>
  <c r="N42" i="50"/>
  <c r="I49" i="50"/>
  <c r="R42" i="50"/>
  <c r="C12" i="50"/>
  <c r="G12" i="50"/>
  <c r="Q8" i="50"/>
  <c r="I61" i="50" s="1"/>
  <c r="C23" i="50"/>
  <c r="O13" i="50"/>
  <c r="D23" i="50"/>
  <c r="H23" i="50"/>
  <c r="O25" i="50"/>
  <c r="O33" i="50"/>
  <c r="C42" i="50"/>
  <c r="G42" i="50"/>
  <c r="F49" i="50"/>
  <c r="D22" i="50"/>
  <c r="H22" i="50"/>
  <c r="L25" i="50"/>
  <c r="P25" i="50"/>
  <c r="L33" i="50"/>
  <c r="P33" i="50"/>
  <c r="M42" i="50"/>
  <c r="Q42" i="50"/>
  <c r="N43" i="50"/>
  <c r="R43" i="50"/>
  <c r="M25" i="50"/>
  <c r="Q25" i="50"/>
  <c r="M33" i="50"/>
  <c r="Q33" i="50"/>
  <c r="N33" i="50"/>
  <c r="R33" i="50"/>
  <c r="D111" i="50" l="1"/>
  <c r="M41" i="50"/>
  <c r="E88" i="50" s="1"/>
  <c r="L12" i="50"/>
  <c r="D65" i="50" s="1"/>
  <c r="L41" i="50"/>
  <c r="D88" i="50" s="1"/>
  <c r="L32" i="50"/>
  <c r="D72" i="50" s="1"/>
  <c r="M32" i="50"/>
  <c r="E72" i="50" s="1"/>
  <c r="E73" i="50" s="1"/>
  <c r="G111" i="50"/>
  <c r="H111" i="50"/>
  <c r="I111" i="50"/>
  <c r="F111" i="50"/>
  <c r="K22" i="28"/>
  <c r="I73" i="50"/>
  <c r="Q22" i="50"/>
  <c r="I80" i="50" s="1"/>
  <c r="I89" i="50" s="1"/>
  <c r="R4" i="50"/>
  <c r="R32" i="50"/>
  <c r="J72" i="50" s="1"/>
  <c r="J73" i="50" s="1"/>
  <c r="R22" i="50"/>
  <c r="J80" i="50" s="1"/>
  <c r="J89" i="50" s="1"/>
  <c r="Q23" i="50"/>
  <c r="N4" i="50"/>
  <c r="N32" i="50"/>
  <c r="F72" i="50" s="1"/>
  <c r="F73" i="50" s="1"/>
  <c r="R49" i="50"/>
  <c r="O23" i="50"/>
  <c r="Q4" i="50"/>
  <c r="L23" i="50"/>
  <c r="P12" i="50"/>
  <c r="P32" i="50"/>
  <c r="H72" i="50" s="1"/>
  <c r="O22" i="50"/>
  <c r="G80" i="50" s="1"/>
  <c r="G89" i="50" s="1"/>
  <c r="L4" i="50"/>
  <c r="D63" i="50"/>
  <c r="Q49" i="50"/>
  <c r="M4" i="50"/>
  <c r="G49" i="50"/>
  <c r="P49" i="50" s="1"/>
  <c r="P42" i="50"/>
  <c r="P22" i="50"/>
  <c r="H80" i="50" s="1"/>
  <c r="H89" i="50" s="1"/>
  <c r="R23" i="50"/>
  <c r="N22" i="50"/>
  <c r="F80" i="50" s="1"/>
  <c r="F89" i="50" s="1"/>
  <c r="C49" i="50"/>
  <c r="L49" i="50" s="1"/>
  <c r="L42" i="50"/>
  <c r="M23" i="50"/>
  <c r="L22" i="50"/>
  <c r="D80" i="50" s="1"/>
  <c r="D89" i="50" s="1"/>
  <c r="O42" i="50"/>
  <c r="P23" i="50"/>
  <c r="O12" i="50"/>
  <c r="M22" i="50"/>
  <c r="E80" i="50" s="1"/>
  <c r="E89" i="50" s="1"/>
  <c r="N49" i="50"/>
  <c r="M49" i="50"/>
  <c r="N23" i="50"/>
  <c r="O79" i="30"/>
  <c r="N63" i="30"/>
  <c r="N64" i="30"/>
  <c r="D73" i="50" l="1"/>
  <c r="L22" i="28"/>
  <c r="O4" i="50"/>
  <c r="G65" i="50"/>
  <c r="G73" i="50" s="1"/>
  <c r="P4" i="50"/>
  <c r="H65" i="50"/>
  <c r="H73" i="50" s="1"/>
  <c r="O49" i="50"/>
  <c r="N65" i="30"/>
  <c r="D31" i="30"/>
  <c r="E7" i="46"/>
  <c r="F7" i="46" s="1"/>
  <c r="G7" i="46" s="1"/>
  <c r="H7" i="46" s="1"/>
  <c r="I7" i="46" s="1"/>
  <c r="J7" i="46" s="1"/>
  <c r="K7" i="46" s="1"/>
  <c r="E9" i="45"/>
  <c r="F9" i="45" s="1"/>
  <c r="G9" i="45" s="1"/>
  <c r="H9" i="45" s="1"/>
  <c r="I9" i="45" s="1"/>
  <c r="J9" i="45" s="1"/>
  <c r="K9" i="45" s="1"/>
  <c r="E10" i="44"/>
  <c r="F10" i="44" s="1"/>
  <c r="G10" i="44" s="1"/>
  <c r="H10" i="44" s="1"/>
  <c r="I10" i="44" s="1"/>
  <c r="J10" i="44" s="1"/>
  <c r="K10" i="44" s="1"/>
  <c r="M22" i="28" l="1"/>
  <c r="E30" i="30"/>
  <c r="F30" i="30" s="1"/>
  <c r="G30" i="30" s="1"/>
  <c r="H30" i="30" s="1"/>
  <c r="I30" i="30" s="1"/>
  <c r="J30" i="30" s="1"/>
  <c r="K30" i="30" s="1"/>
  <c r="L30" i="30" s="1"/>
  <c r="M30" i="30" s="1"/>
  <c r="N30" i="30" s="1"/>
  <c r="D32" i="30"/>
  <c r="E32" i="30" s="1"/>
  <c r="F32" i="30" s="1"/>
  <c r="G32" i="30" s="1"/>
  <c r="H32" i="30" s="1"/>
  <c r="I32" i="30" s="1"/>
  <c r="J32" i="30" s="1"/>
  <c r="K32" i="30" s="1"/>
  <c r="L32" i="30" s="1"/>
  <c r="M32" i="30" s="1"/>
  <c r="N32" i="30" s="1"/>
  <c r="E31" i="30"/>
  <c r="F31" i="30" s="1"/>
  <c r="G31" i="30" s="1"/>
  <c r="H31" i="30" s="1"/>
  <c r="I31" i="30" s="1"/>
  <c r="J31" i="30" s="1"/>
  <c r="K31" i="30" s="1"/>
  <c r="L31" i="30" s="1"/>
  <c r="M31" i="30" s="1"/>
  <c r="N31" i="30" s="1"/>
  <c r="N22" i="28" l="1"/>
  <c r="P19" i="42" l="1"/>
  <c r="O19" i="42"/>
  <c r="N19" i="42"/>
  <c r="M19" i="42"/>
  <c r="L19" i="42"/>
  <c r="K19" i="42"/>
  <c r="J19" i="42"/>
  <c r="I19" i="42"/>
  <c r="H19" i="42"/>
  <c r="G19" i="42"/>
  <c r="D52" i="43"/>
  <c r="E8" i="43"/>
  <c r="F8" i="43" s="1"/>
  <c r="G8" i="43" s="1"/>
  <c r="H8" i="43" s="1"/>
  <c r="I8" i="43" s="1"/>
  <c r="J8" i="43" s="1"/>
  <c r="K8" i="43" s="1"/>
  <c r="P4" i="42"/>
  <c r="O4" i="42"/>
  <c r="N4" i="42"/>
  <c r="M4" i="42"/>
  <c r="L4" i="42"/>
  <c r="K4" i="42"/>
  <c r="I4" i="42"/>
  <c r="H4" i="42"/>
  <c r="J4" i="42"/>
  <c r="G4" i="42"/>
  <c r="M21" i="9" l="1"/>
  <c r="N21" i="9" s="1"/>
  <c r="O21" i="9" s="1"/>
  <c r="P21" i="9" s="1"/>
  <c r="Q21" i="9" s="1"/>
  <c r="R21" i="9" s="1"/>
  <c r="S21" i="9" s="1"/>
  <c r="T21" i="9" s="1"/>
  <c r="U21" i="9" s="1"/>
  <c r="V21" i="9" s="1"/>
  <c r="M18" i="9"/>
  <c r="N18" i="9" s="1"/>
  <c r="O18" i="9" s="1"/>
  <c r="P18" i="9" s="1"/>
  <c r="Q18" i="9" s="1"/>
  <c r="R18" i="9" s="1"/>
  <c r="S18" i="9" s="1"/>
  <c r="T18" i="9" s="1"/>
  <c r="U18" i="9" s="1"/>
  <c r="V18" i="9" s="1"/>
  <c r="M20" i="9"/>
  <c r="N20" i="9" s="1"/>
  <c r="O20" i="9" s="1"/>
  <c r="P20" i="9" s="1"/>
  <c r="Q20" i="9" s="1"/>
  <c r="R20" i="9" s="1"/>
  <c r="S20" i="9" s="1"/>
  <c r="T20" i="9" s="1"/>
  <c r="U20" i="9" s="1"/>
  <c r="V20" i="9" s="1"/>
  <c r="E28" i="42"/>
  <c r="D28" i="42"/>
  <c r="C28" i="42"/>
  <c r="E26" i="42"/>
  <c r="D26" i="42"/>
  <c r="C26" i="42"/>
  <c r="E24" i="42"/>
  <c r="D24" i="42"/>
  <c r="C24" i="42"/>
  <c r="E23" i="42"/>
  <c r="D23" i="42"/>
  <c r="C23" i="42"/>
  <c r="E21" i="42"/>
  <c r="D21" i="42"/>
  <c r="C21" i="42"/>
  <c r="E20" i="42"/>
  <c r="D20" i="42"/>
  <c r="C20" i="42"/>
  <c r="E18" i="42"/>
  <c r="D18" i="42"/>
  <c r="C18" i="42"/>
  <c r="E17" i="42"/>
  <c r="D17" i="42"/>
  <c r="C17" i="42"/>
  <c r="E15" i="42"/>
  <c r="D15" i="42"/>
  <c r="C15" i="42"/>
  <c r="E13" i="42"/>
  <c r="D13" i="42"/>
  <c r="C13" i="42"/>
  <c r="E11" i="42"/>
  <c r="D11" i="42"/>
  <c r="C11" i="42"/>
  <c r="E10" i="42"/>
  <c r="D10" i="42"/>
  <c r="C10" i="42"/>
  <c r="E9" i="42"/>
  <c r="D9" i="42"/>
  <c r="C9" i="42"/>
  <c r="E8" i="42"/>
  <c r="D8" i="42"/>
  <c r="C8" i="42"/>
  <c r="E6" i="42"/>
  <c r="D6" i="42"/>
  <c r="C6" i="42"/>
  <c r="E5" i="42"/>
  <c r="D5" i="42"/>
  <c r="C5" i="42"/>
  <c r="M43" i="7"/>
  <c r="L43" i="7"/>
  <c r="K43" i="7"/>
  <c r="J43" i="7"/>
  <c r="I43" i="7"/>
  <c r="H43" i="7"/>
  <c r="G43" i="7"/>
  <c r="F43" i="7"/>
  <c r="E43" i="7"/>
  <c r="D43" i="7"/>
  <c r="D116" i="23"/>
  <c r="L65" i="22"/>
  <c r="D133" i="3"/>
  <c r="D134" i="3" s="1"/>
  <c r="C19" i="42" l="1"/>
  <c r="E22" i="42"/>
  <c r="D22" i="42"/>
  <c r="D16" i="42"/>
  <c r="D19" i="42"/>
  <c r="E19" i="42"/>
  <c r="C7" i="42"/>
  <c r="C12" i="42" s="1"/>
  <c r="C14" i="42" s="1"/>
  <c r="C16" i="42"/>
  <c r="D7" i="42"/>
  <c r="D12" i="42" s="1"/>
  <c r="D14" i="42" s="1"/>
  <c r="C22" i="42"/>
  <c r="E16" i="42"/>
  <c r="E7" i="42"/>
  <c r="E12" i="42" s="1"/>
  <c r="E14" i="42" s="1"/>
  <c r="E68" i="23"/>
  <c r="F68" i="23" s="1"/>
  <c r="G68" i="23" s="1"/>
  <c r="H68" i="23" s="1"/>
  <c r="I68" i="23" s="1"/>
  <c r="J68" i="23" s="1"/>
  <c r="K68" i="23" s="1"/>
  <c r="E26" i="27"/>
  <c r="F26" i="27" s="1"/>
  <c r="G26" i="27" s="1"/>
  <c r="H26" i="27" s="1"/>
  <c r="I26" i="27" s="1"/>
  <c r="J26" i="27" s="1"/>
  <c r="K26" i="27" s="1"/>
  <c r="D25" i="42" l="1"/>
  <c r="D27" i="42" s="1"/>
  <c r="D29" i="42" s="1"/>
  <c r="C25" i="42"/>
  <c r="C27" i="42" s="1"/>
  <c r="C29" i="42" s="1"/>
  <c r="E25" i="42"/>
  <c r="E27" i="42" s="1"/>
  <c r="E29" i="42" s="1"/>
  <c r="M65" i="22"/>
  <c r="L35" i="7"/>
  <c r="P90" i="27" s="1"/>
  <c r="M35" i="7"/>
  <c r="Q90" i="27" s="1"/>
  <c r="D32" i="7"/>
  <c r="K35" i="7"/>
  <c r="O90" i="27" s="1"/>
  <c r="J35" i="7"/>
  <c r="N90" i="27" s="1"/>
  <c r="I35" i="7"/>
  <c r="M90" i="27" s="1"/>
  <c r="H35" i="7"/>
  <c r="L90" i="27" s="1"/>
  <c r="G35" i="7"/>
  <c r="K90" i="27" s="1"/>
  <c r="F35" i="7"/>
  <c r="J90" i="27" s="1"/>
  <c r="E35" i="7"/>
  <c r="I90" i="27" s="1"/>
  <c r="D35" i="7"/>
  <c r="H90" i="27" s="1"/>
  <c r="C79" i="27"/>
  <c r="C80" i="27" s="1"/>
  <c r="C81" i="27" s="1"/>
  <c r="C82" i="27" s="1"/>
  <c r="C83" i="27" s="1"/>
  <c r="E32" i="7" l="1"/>
  <c r="F32" i="7" s="1"/>
  <c r="G32" i="7" s="1"/>
  <c r="H32" i="7" s="1"/>
  <c r="I32" i="7" s="1"/>
  <c r="J32" i="7" s="1"/>
  <c r="K32" i="7" s="1"/>
  <c r="L32" i="7" s="1"/>
  <c r="M32" i="7" s="1"/>
  <c r="D41" i="7"/>
  <c r="N65" i="22"/>
  <c r="C84" i="27"/>
  <c r="C85" i="27" s="1"/>
  <c r="C86" i="27" s="1"/>
  <c r="C87" i="27" s="1"/>
  <c r="C88" i="27" s="1"/>
  <c r="E41" i="7" l="1"/>
  <c r="F41" i="7" s="1"/>
  <c r="G41" i="7" s="1"/>
  <c r="H41" i="7" s="1"/>
  <c r="I41" i="7" s="1"/>
  <c r="J41" i="7" s="1"/>
  <c r="K41" i="7" s="1"/>
  <c r="L41" i="7" s="1"/>
  <c r="M41" i="7" s="1"/>
  <c r="O65" i="22"/>
  <c r="N6" i="2"/>
  <c r="N2" i="2"/>
  <c r="M24" i="2"/>
  <c r="D3" i="30"/>
  <c r="F22" i="2"/>
  <c r="D4" i="2"/>
  <c r="E4" i="2" s="1"/>
  <c r="F4" i="2" s="1"/>
  <c r="G4" i="2" s="1"/>
  <c r="H4" i="2" s="1"/>
  <c r="I4" i="2" s="1"/>
  <c r="J4" i="2" s="1"/>
  <c r="K4" i="2" s="1"/>
  <c r="L4" i="2" s="1"/>
  <c r="M4" i="2" s="1"/>
  <c r="N4" i="2" s="1"/>
  <c r="D2" i="30"/>
  <c r="E17" i="30" s="1"/>
  <c r="E37" i="30" s="1"/>
  <c r="E57" i="30" s="1"/>
  <c r="N17" i="30" l="1"/>
  <c r="P65" i="22"/>
  <c r="G17" i="30"/>
  <c r="G37" i="30" s="1"/>
  <c r="G57" i="30" s="1"/>
  <c r="D17" i="30"/>
  <c r="D37" i="30" s="1"/>
  <c r="D57" i="30" s="1"/>
  <c r="F17" i="30"/>
  <c r="F37" i="30" s="1"/>
  <c r="F57" i="30" s="1"/>
  <c r="L17" i="30"/>
  <c r="L37" i="30" s="1"/>
  <c r="L57" i="30" s="1"/>
  <c r="H17" i="30"/>
  <c r="H37" i="30" s="1"/>
  <c r="H57" i="30" s="1"/>
  <c r="K17" i="30"/>
  <c r="K37" i="30" s="1"/>
  <c r="K57" i="30" s="1"/>
  <c r="J17" i="30"/>
  <c r="J37" i="30" s="1"/>
  <c r="J57" i="30" s="1"/>
  <c r="M17" i="30"/>
  <c r="M37" i="30" s="1"/>
  <c r="M57" i="30" s="1"/>
  <c r="I17" i="30"/>
  <c r="I37" i="30" s="1"/>
  <c r="I57" i="30" s="1"/>
  <c r="U116" i="25"/>
  <c r="T116" i="25"/>
  <c r="S116" i="25"/>
  <c r="R116" i="25"/>
  <c r="Q116" i="25"/>
  <c r="P116" i="25"/>
  <c r="O116" i="25"/>
  <c r="N116" i="25"/>
  <c r="M116" i="25"/>
  <c r="L116" i="25"/>
  <c r="U184" i="25"/>
  <c r="T184" i="25"/>
  <c r="S184" i="25"/>
  <c r="R184" i="25"/>
  <c r="Q184" i="25"/>
  <c r="P184" i="25"/>
  <c r="O184" i="25"/>
  <c r="N184" i="25"/>
  <c r="M184" i="25"/>
  <c r="L184" i="25"/>
  <c r="E182" i="25"/>
  <c r="F182" i="25" s="1"/>
  <c r="G182" i="25" s="1"/>
  <c r="H182" i="25" s="1"/>
  <c r="I182" i="25" s="1"/>
  <c r="J182" i="25" s="1"/>
  <c r="K182" i="25" s="1"/>
  <c r="U173" i="25"/>
  <c r="T173" i="25"/>
  <c r="S173" i="25"/>
  <c r="R173" i="25"/>
  <c r="Q173" i="25"/>
  <c r="P173" i="25"/>
  <c r="O173" i="25"/>
  <c r="N173" i="25"/>
  <c r="M173" i="25"/>
  <c r="L173" i="25"/>
  <c r="E171" i="25"/>
  <c r="F171" i="25" s="1"/>
  <c r="G171" i="25" s="1"/>
  <c r="H171" i="25" s="1"/>
  <c r="I171" i="25" s="1"/>
  <c r="J171" i="25" s="1"/>
  <c r="K171" i="25" s="1"/>
  <c r="U162" i="25"/>
  <c r="T162" i="25"/>
  <c r="S162" i="25"/>
  <c r="R162" i="25"/>
  <c r="Q162" i="25"/>
  <c r="P162" i="25"/>
  <c r="O162" i="25"/>
  <c r="N162" i="25"/>
  <c r="M162" i="25"/>
  <c r="L162" i="25"/>
  <c r="E160" i="25"/>
  <c r="F160" i="25" s="1"/>
  <c r="G160" i="25" s="1"/>
  <c r="H160" i="25" s="1"/>
  <c r="I160" i="25" s="1"/>
  <c r="J160" i="25" s="1"/>
  <c r="K160" i="25" s="1"/>
  <c r="U150" i="25"/>
  <c r="T150" i="25"/>
  <c r="S150" i="25"/>
  <c r="R150" i="25"/>
  <c r="Q150" i="25"/>
  <c r="P150" i="25"/>
  <c r="O150" i="25"/>
  <c r="N150" i="25"/>
  <c r="M150" i="25"/>
  <c r="L150" i="25"/>
  <c r="K150" i="25"/>
  <c r="J150" i="25"/>
  <c r="I150" i="25"/>
  <c r="H150" i="25"/>
  <c r="G150" i="25"/>
  <c r="F150" i="25"/>
  <c r="E150" i="25"/>
  <c r="D150" i="25"/>
  <c r="E148" i="25"/>
  <c r="F148" i="25" s="1"/>
  <c r="G148" i="25" s="1"/>
  <c r="H148" i="25" s="1"/>
  <c r="I148" i="25" s="1"/>
  <c r="J148" i="25" s="1"/>
  <c r="K148" i="25" s="1"/>
  <c r="U139" i="25"/>
  <c r="T139" i="25"/>
  <c r="S139" i="25"/>
  <c r="R139" i="25"/>
  <c r="Q139" i="25"/>
  <c r="P139" i="25"/>
  <c r="O139" i="25"/>
  <c r="N139" i="25"/>
  <c r="M139" i="25"/>
  <c r="L139" i="25"/>
  <c r="E137" i="25"/>
  <c r="F137" i="25" s="1"/>
  <c r="G137" i="25" s="1"/>
  <c r="H137" i="25" s="1"/>
  <c r="I137" i="25" s="1"/>
  <c r="J137" i="25" s="1"/>
  <c r="K137" i="25" s="1"/>
  <c r="U128" i="25"/>
  <c r="T128" i="25"/>
  <c r="S128" i="25"/>
  <c r="R128" i="25"/>
  <c r="Q128" i="25"/>
  <c r="P128" i="25"/>
  <c r="O128" i="25"/>
  <c r="N128" i="25"/>
  <c r="M128" i="25"/>
  <c r="L128" i="25"/>
  <c r="E126" i="25"/>
  <c r="F126" i="25" s="1"/>
  <c r="G126" i="25" s="1"/>
  <c r="H126" i="25" s="1"/>
  <c r="I126" i="25" s="1"/>
  <c r="J126" i="25" s="1"/>
  <c r="K126" i="25" s="1"/>
  <c r="E115" i="25"/>
  <c r="F115" i="25" s="1"/>
  <c r="G115" i="25" s="1"/>
  <c r="H115" i="25" s="1"/>
  <c r="I115" i="25" s="1"/>
  <c r="J115" i="25" s="1"/>
  <c r="K115" i="25" s="1"/>
  <c r="M26" i="2" l="1"/>
  <c r="N37" i="30"/>
  <c r="N57" i="30" s="1"/>
  <c r="Q65" i="22"/>
  <c r="E67" i="25"/>
  <c r="F67" i="25" s="1"/>
  <c r="G67" i="25" s="1"/>
  <c r="H67" i="25" s="1"/>
  <c r="I67" i="25" s="1"/>
  <c r="J67" i="25" s="1"/>
  <c r="K67" i="25" s="1"/>
  <c r="C15" i="25"/>
  <c r="C14" i="25"/>
  <c r="C11" i="25"/>
  <c r="C10" i="25"/>
  <c r="C9" i="25"/>
  <c r="B64" i="41"/>
  <c r="B74" i="41" s="1"/>
  <c r="B63" i="41"/>
  <c r="B73" i="41" s="1"/>
  <c r="B62" i="41"/>
  <c r="B72" i="41" s="1"/>
  <c r="B51" i="41"/>
  <c r="B61" i="41" s="1"/>
  <c r="B71" i="41" s="1"/>
  <c r="B50" i="41"/>
  <c r="B60" i="41" s="1"/>
  <c r="B70" i="41" s="1"/>
  <c r="B49" i="41"/>
  <c r="B59" i="41" s="1"/>
  <c r="B69" i="41" s="1"/>
  <c r="R65" i="22" l="1"/>
  <c r="J44" i="41"/>
  <c r="I44" i="41"/>
  <c r="H44" i="41"/>
  <c r="G44" i="41"/>
  <c r="F44" i="41"/>
  <c r="E44" i="41"/>
  <c r="D44" i="41"/>
  <c r="C44" i="41"/>
  <c r="J43" i="41"/>
  <c r="I43" i="41"/>
  <c r="H43" i="41"/>
  <c r="G43" i="41"/>
  <c r="F43" i="41"/>
  <c r="E43" i="41"/>
  <c r="D43" i="41"/>
  <c r="C43" i="41"/>
  <c r="J42" i="41"/>
  <c r="I42" i="41"/>
  <c r="H42" i="41"/>
  <c r="G42" i="41"/>
  <c r="F42" i="41"/>
  <c r="E42" i="41"/>
  <c r="D42" i="41"/>
  <c r="C42" i="41"/>
  <c r="J41" i="41"/>
  <c r="I41" i="41"/>
  <c r="H41" i="41"/>
  <c r="G41" i="41"/>
  <c r="F41" i="41"/>
  <c r="E41" i="41"/>
  <c r="D41" i="41"/>
  <c r="C41" i="41"/>
  <c r="J39" i="41"/>
  <c r="K118" i="25" s="1"/>
  <c r="K129" i="25" s="1"/>
  <c r="K140" i="25" s="1"/>
  <c r="K163" i="25" s="1"/>
  <c r="K174" i="25" s="1"/>
  <c r="K185" i="25" s="1"/>
  <c r="K151" i="25" s="1"/>
  <c r="K152" i="25" s="1"/>
  <c r="I156" i="25" s="1"/>
  <c r="J156" i="25" s="1"/>
  <c r="K156" i="25" s="1"/>
  <c r="I39" i="41"/>
  <c r="J118" i="25" s="1"/>
  <c r="J129" i="25" s="1"/>
  <c r="J140" i="25" s="1"/>
  <c r="J163" i="25" s="1"/>
  <c r="J174" i="25" s="1"/>
  <c r="J185" i="25" s="1"/>
  <c r="J151" i="25" s="1"/>
  <c r="J152" i="25" s="1"/>
  <c r="H39" i="41"/>
  <c r="I118" i="25" s="1"/>
  <c r="I129" i="25" s="1"/>
  <c r="I140" i="25" s="1"/>
  <c r="I163" i="25" s="1"/>
  <c r="I174" i="25" s="1"/>
  <c r="I185" i="25" s="1"/>
  <c r="I151" i="25" s="1"/>
  <c r="I152" i="25" s="1"/>
  <c r="G39" i="41"/>
  <c r="H118" i="25" s="1"/>
  <c r="F39" i="41"/>
  <c r="G118" i="25" s="1"/>
  <c r="G129" i="25" s="1"/>
  <c r="G140" i="25" s="1"/>
  <c r="G163" i="25" s="1"/>
  <c r="G174" i="25" s="1"/>
  <c r="G185" i="25" s="1"/>
  <c r="G151" i="25" s="1"/>
  <c r="G152" i="25" s="1"/>
  <c r="E39" i="41"/>
  <c r="F118" i="25" s="1"/>
  <c r="F129" i="25" s="1"/>
  <c r="F140" i="25" s="1"/>
  <c r="F163" i="25" s="1"/>
  <c r="F174" i="25" s="1"/>
  <c r="F185" i="25" s="1"/>
  <c r="F151" i="25" s="1"/>
  <c r="F152" i="25" s="1"/>
  <c r="D39" i="41"/>
  <c r="E118" i="25" s="1"/>
  <c r="E129" i="25" s="1"/>
  <c r="E140" i="25" s="1"/>
  <c r="E163" i="25" s="1"/>
  <c r="E174" i="25" s="1"/>
  <c r="E185" i="25" s="1"/>
  <c r="E151" i="25" s="1"/>
  <c r="E152" i="25" s="1"/>
  <c r="C39" i="41"/>
  <c r="D118" i="25" s="1"/>
  <c r="D129" i="25" s="1"/>
  <c r="D140" i="25" s="1"/>
  <c r="D163" i="25" s="1"/>
  <c r="D174" i="25" s="1"/>
  <c r="D185" i="25" s="1"/>
  <c r="D151" i="25" s="1"/>
  <c r="D152" i="25" s="1"/>
  <c r="J38" i="41"/>
  <c r="J40" i="41" s="1"/>
  <c r="J45" i="41" s="1"/>
  <c r="I38" i="41"/>
  <c r="I40" i="41" s="1"/>
  <c r="I45" i="41" s="1"/>
  <c r="H38" i="41"/>
  <c r="H40" i="41" s="1"/>
  <c r="H45" i="41" s="1"/>
  <c r="G38" i="41"/>
  <c r="G40" i="41" s="1"/>
  <c r="G45" i="41" s="1"/>
  <c r="F38" i="41"/>
  <c r="E38" i="41"/>
  <c r="E40" i="41" s="1"/>
  <c r="E45" i="41" s="1"/>
  <c r="D38" i="41"/>
  <c r="D40" i="41" s="1"/>
  <c r="D45" i="41" s="1"/>
  <c r="C38" i="41"/>
  <c r="C40" i="41" s="1"/>
  <c r="C45" i="41" s="1"/>
  <c r="J33" i="41"/>
  <c r="E34" i="37" s="1"/>
  <c r="I33" i="41"/>
  <c r="D34" i="37" s="1"/>
  <c r="H33" i="41"/>
  <c r="C34" i="37" s="1"/>
  <c r="G33" i="41"/>
  <c r="F33" i="41"/>
  <c r="E33" i="41"/>
  <c r="D33" i="41"/>
  <c r="C33" i="41"/>
  <c r="J29" i="41"/>
  <c r="I29" i="41"/>
  <c r="H29" i="41"/>
  <c r="G29" i="41"/>
  <c r="F29" i="41"/>
  <c r="E29" i="41"/>
  <c r="D29" i="41"/>
  <c r="C29" i="41"/>
  <c r="J28" i="41"/>
  <c r="I28" i="41"/>
  <c r="I27" i="41" s="1"/>
  <c r="H28" i="41"/>
  <c r="G28" i="41"/>
  <c r="F28" i="41"/>
  <c r="E28" i="41"/>
  <c r="E27" i="41" s="1"/>
  <c r="D28" i="41"/>
  <c r="C28" i="41"/>
  <c r="J27" i="41"/>
  <c r="J25" i="41"/>
  <c r="I25" i="41"/>
  <c r="H25" i="41"/>
  <c r="G25" i="41"/>
  <c r="F25" i="41"/>
  <c r="E25" i="41"/>
  <c r="D25" i="41"/>
  <c r="C25" i="41"/>
  <c r="J24" i="41"/>
  <c r="I24" i="41"/>
  <c r="H24" i="41"/>
  <c r="G24" i="41"/>
  <c r="F24" i="41"/>
  <c r="E24" i="41"/>
  <c r="D24" i="41"/>
  <c r="C24" i="41"/>
  <c r="J23" i="41"/>
  <c r="I23" i="41"/>
  <c r="H23" i="41"/>
  <c r="G23" i="41"/>
  <c r="F23" i="41"/>
  <c r="E23" i="41"/>
  <c r="D23" i="41"/>
  <c r="C23" i="41"/>
  <c r="J22" i="41"/>
  <c r="J26" i="41" s="1"/>
  <c r="I22" i="41"/>
  <c r="I26" i="41" s="1"/>
  <c r="H22" i="41"/>
  <c r="G22" i="41"/>
  <c r="F22" i="41"/>
  <c r="F26" i="41" s="1"/>
  <c r="E22" i="41"/>
  <c r="D22" i="41"/>
  <c r="D26" i="41" s="1"/>
  <c r="C22" i="41"/>
  <c r="C26" i="41" s="1"/>
  <c r="J20" i="41"/>
  <c r="I20" i="41"/>
  <c r="H20" i="41"/>
  <c r="G20" i="41"/>
  <c r="F20" i="41"/>
  <c r="E20" i="41"/>
  <c r="D20" i="41"/>
  <c r="C20" i="41"/>
  <c r="J19" i="41"/>
  <c r="I19" i="41"/>
  <c r="H19" i="41"/>
  <c r="G19" i="41"/>
  <c r="F19" i="41"/>
  <c r="E19" i="41"/>
  <c r="D19" i="41"/>
  <c r="C19" i="41"/>
  <c r="J18" i="41"/>
  <c r="I18" i="41"/>
  <c r="I21" i="41" s="1"/>
  <c r="H18" i="41"/>
  <c r="G18" i="41"/>
  <c r="F18" i="41"/>
  <c r="E18" i="41"/>
  <c r="D18" i="41"/>
  <c r="C18" i="41"/>
  <c r="J13" i="41"/>
  <c r="I13" i="41"/>
  <c r="H13" i="41"/>
  <c r="G13" i="41"/>
  <c r="F13" i="41"/>
  <c r="E13" i="41"/>
  <c r="D13" i="41"/>
  <c r="C13" i="41"/>
  <c r="J12" i="41"/>
  <c r="I12" i="41"/>
  <c r="H12" i="41"/>
  <c r="G12" i="41"/>
  <c r="H28" i="27" s="1"/>
  <c r="F12" i="41"/>
  <c r="G28" i="27" s="1"/>
  <c r="E12" i="41"/>
  <c r="F28" i="27" s="1"/>
  <c r="D12" i="41"/>
  <c r="E28" i="27" s="1"/>
  <c r="C12" i="41"/>
  <c r="D28" i="27" s="1"/>
  <c r="J11" i="41"/>
  <c r="E12" i="37" s="1"/>
  <c r="I11" i="41"/>
  <c r="D12" i="37" s="1"/>
  <c r="H11" i="41"/>
  <c r="C12" i="37" s="1"/>
  <c r="G11" i="41"/>
  <c r="F11" i="41"/>
  <c r="E11" i="41"/>
  <c r="D11" i="41"/>
  <c r="C11" i="41"/>
  <c r="J10" i="41"/>
  <c r="I10" i="41"/>
  <c r="H10" i="41"/>
  <c r="G10" i="41"/>
  <c r="F10" i="41"/>
  <c r="E10" i="41"/>
  <c r="D10" i="41"/>
  <c r="C10" i="41"/>
  <c r="J8" i="41"/>
  <c r="I8" i="41"/>
  <c r="H8" i="41"/>
  <c r="G8" i="41"/>
  <c r="F8" i="41"/>
  <c r="E8" i="41"/>
  <c r="D8" i="41"/>
  <c r="C8" i="41"/>
  <c r="J7" i="41"/>
  <c r="I7" i="41"/>
  <c r="H7" i="41"/>
  <c r="G7" i="41"/>
  <c r="F7" i="41"/>
  <c r="E7" i="41"/>
  <c r="D7" i="41"/>
  <c r="C7" i="41"/>
  <c r="J6" i="41"/>
  <c r="I6" i="41"/>
  <c r="H6" i="41"/>
  <c r="G6" i="41"/>
  <c r="F6" i="41"/>
  <c r="E6" i="41"/>
  <c r="D6" i="41"/>
  <c r="C6" i="41"/>
  <c r="J5" i="41"/>
  <c r="E7" i="37" s="1"/>
  <c r="I5" i="41"/>
  <c r="D7" i="37" s="1"/>
  <c r="H5" i="41"/>
  <c r="C7" i="37" s="1"/>
  <c r="G5" i="41"/>
  <c r="F5" i="41"/>
  <c r="E5" i="41"/>
  <c r="D5" i="41"/>
  <c r="C5" i="41"/>
  <c r="J4" i="41"/>
  <c r="I4" i="41"/>
  <c r="I9" i="41" s="1"/>
  <c r="H4" i="41"/>
  <c r="G4" i="41"/>
  <c r="F4" i="41"/>
  <c r="E4" i="41"/>
  <c r="D4" i="41"/>
  <c r="C4" i="41"/>
  <c r="C9" i="41" s="1"/>
  <c r="J3" i="41"/>
  <c r="I3" i="41"/>
  <c r="H3" i="41"/>
  <c r="G3" i="41"/>
  <c r="F3" i="41"/>
  <c r="E3" i="41"/>
  <c r="D3" i="41"/>
  <c r="C3" i="41"/>
  <c r="F40" i="41" l="1"/>
  <c r="F45" i="41" s="1"/>
  <c r="C21" i="41"/>
  <c r="E26" i="41"/>
  <c r="G21" i="41"/>
  <c r="G53" i="41" s="1"/>
  <c r="G63" i="41" s="1"/>
  <c r="G26" i="41"/>
  <c r="G9" i="41"/>
  <c r="H215" i="25" s="1"/>
  <c r="E9" i="41"/>
  <c r="F215" i="25" s="1"/>
  <c r="E21" i="41"/>
  <c r="F80" i="25" s="1"/>
  <c r="J50" i="41"/>
  <c r="J60" i="41" s="1"/>
  <c r="K128" i="25"/>
  <c r="K130" i="25" s="1"/>
  <c r="I134" i="25" s="1"/>
  <c r="J134" i="25" s="1"/>
  <c r="K134" i="25" s="1"/>
  <c r="L134" i="25" s="1"/>
  <c r="K214" i="25"/>
  <c r="F10" i="25"/>
  <c r="E9" i="37"/>
  <c r="J52" i="41"/>
  <c r="J72" i="41" s="1"/>
  <c r="K217" i="25"/>
  <c r="K162" i="25"/>
  <c r="K164" i="25" s="1"/>
  <c r="I168" i="25" s="1"/>
  <c r="J168" i="25" s="1"/>
  <c r="K168" i="25" s="1"/>
  <c r="G65" i="22"/>
  <c r="G116" i="25"/>
  <c r="G127" i="25" s="1"/>
  <c r="G138" i="25" s="1"/>
  <c r="G161" i="25" s="1"/>
  <c r="G172" i="25" s="1"/>
  <c r="G183" i="25" s="1"/>
  <c r="G149" i="25" s="1"/>
  <c r="F49" i="41"/>
  <c r="F59" i="41" s="1"/>
  <c r="G117" i="25"/>
  <c r="G119" i="25" s="1"/>
  <c r="G213" i="25"/>
  <c r="F50" i="41"/>
  <c r="F70" i="41" s="1"/>
  <c r="G214" i="25"/>
  <c r="G128" i="25"/>
  <c r="G130" i="25" s="1"/>
  <c r="F52" i="41"/>
  <c r="F72" i="41" s="1"/>
  <c r="G217" i="25"/>
  <c r="G162" i="25"/>
  <c r="G164" i="25" s="1"/>
  <c r="J65" i="22"/>
  <c r="J116" i="25"/>
  <c r="J127" i="25" s="1"/>
  <c r="J138" i="25" s="1"/>
  <c r="J161" i="25" s="1"/>
  <c r="J172" i="25" s="1"/>
  <c r="J183" i="25" s="1"/>
  <c r="J149" i="25" s="1"/>
  <c r="I49" i="41"/>
  <c r="I59" i="41" s="1"/>
  <c r="J117" i="25"/>
  <c r="J119" i="25" s="1"/>
  <c r="J213" i="25"/>
  <c r="D8" i="37"/>
  <c r="E9" i="25"/>
  <c r="I50" i="41"/>
  <c r="I60" i="41" s="1"/>
  <c r="J214" i="25"/>
  <c r="J128" i="25"/>
  <c r="J130" i="25" s="1"/>
  <c r="E10" i="25"/>
  <c r="D9" i="37"/>
  <c r="D13" i="37"/>
  <c r="J28" i="27"/>
  <c r="I52" i="41"/>
  <c r="J217" i="25"/>
  <c r="J162" i="25"/>
  <c r="J164" i="25" s="1"/>
  <c r="H65" i="22"/>
  <c r="H116" i="25"/>
  <c r="H127" i="25" s="1"/>
  <c r="H138" i="25" s="1"/>
  <c r="H161" i="25" s="1"/>
  <c r="H172" i="25" s="1"/>
  <c r="H183" i="25" s="1"/>
  <c r="H149" i="25" s="1"/>
  <c r="H49" i="41"/>
  <c r="H59" i="41" s="1"/>
  <c r="I213" i="25"/>
  <c r="I117" i="25"/>
  <c r="I119" i="25" s="1"/>
  <c r="C8" i="37"/>
  <c r="D9" i="25"/>
  <c r="K65" i="22"/>
  <c r="K116" i="25"/>
  <c r="D65" i="22"/>
  <c r="D116" i="25"/>
  <c r="D127" i="25" s="1"/>
  <c r="D138" i="25" s="1"/>
  <c r="D161" i="25" s="1"/>
  <c r="D172" i="25" s="1"/>
  <c r="D183" i="25" s="1"/>
  <c r="D149" i="25" s="1"/>
  <c r="C49" i="41"/>
  <c r="C59" i="41" s="1"/>
  <c r="D117" i="25"/>
  <c r="D119" i="25" s="1"/>
  <c r="D213" i="25"/>
  <c r="C50" i="41"/>
  <c r="C60" i="41" s="1"/>
  <c r="D128" i="25"/>
  <c r="D130" i="25" s="1"/>
  <c r="D214" i="25"/>
  <c r="C52" i="41"/>
  <c r="C62" i="41" s="1"/>
  <c r="D162" i="25"/>
  <c r="D164" i="25" s="1"/>
  <c r="D217" i="25"/>
  <c r="G49" i="41"/>
  <c r="G69" i="41" s="1"/>
  <c r="H117" i="25"/>
  <c r="H213" i="25"/>
  <c r="H50" i="41"/>
  <c r="H60" i="41" s="1"/>
  <c r="I214" i="25"/>
  <c r="I128" i="25"/>
  <c r="I130" i="25" s="1"/>
  <c r="C9" i="37"/>
  <c r="D10" i="25"/>
  <c r="C13" i="37"/>
  <c r="I28" i="27"/>
  <c r="H26" i="41"/>
  <c r="E65" i="22"/>
  <c r="E116" i="25"/>
  <c r="E127" i="25" s="1"/>
  <c r="E138" i="25" s="1"/>
  <c r="E161" i="25" s="1"/>
  <c r="E172" i="25" s="1"/>
  <c r="E183" i="25" s="1"/>
  <c r="E149" i="25" s="1"/>
  <c r="D49" i="41"/>
  <c r="D69" i="41" s="1"/>
  <c r="E117" i="25"/>
  <c r="E119" i="25" s="1"/>
  <c r="E213" i="25"/>
  <c r="D50" i="41"/>
  <c r="D70" i="41" s="1"/>
  <c r="E128" i="25"/>
  <c r="E130" i="25" s="1"/>
  <c r="E214" i="25"/>
  <c r="D52" i="41"/>
  <c r="D62" i="41" s="1"/>
  <c r="E162" i="25"/>
  <c r="E164" i="25" s="1"/>
  <c r="E217" i="25"/>
  <c r="G50" i="41"/>
  <c r="G60" i="41" s="1"/>
  <c r="H214" i="25"/>
  <c r="H128" i="25"/>
  <c r="G52" i="41"/>
  <c r="G72" i="41" s="1"/>
  <c r="H217" i="25"/>
  <c r="H162" i="25"/>
  <c r="I65" i="22"/>
  <c r="I116" i="25"/>
  <c r="I127" i="25" s="1"/>
  <c r="I138" i="25" s="1"/>
  <c r="I161" i="25" s="1"/>
  <c r="I172" i="25" s="1"/>
  <c r="I183" i="25" s="1"/>
  <c r="I149" i="25" s="1"/>
  <c r="H52" i="41"/>
  <c r="H62" i="41" s="1"/>
  <c r="I217" i="25"/>
  <c r="I162" i="25"/>
  <c r="I164" i="25" s="1"/>
  <c r="H119" i="25"/>
  <c r="H129" i="25"/>
  <c r="H140" i="25" s="1"/>
  <c r="H163" i="25" s="1"/>
  <c r="H174" i="25" s="1"/>
  <c r="H185" i="25" s="1"/>
  <c r="H151" i="25" s="1"/>
  <c r="H152" i="25" s="1"/>
  <c r="D155" i="25" s="1"/>
  <c r="J49" i="41"/>
  <c r="J59" i="41" s="1"/>
  <c r="K213" i="25"/>
  <c r="K117" i="25"/>
  <c r="K119" i="25" s="1"/>
  <c r="I123" i="25" s="1"/>
  <c r="J123" i="25" s="1"/>
  <c r="K123" i="25" s="1"/>
  <c r="L123" i="25" s="1"/>
  <c r="E8" i="37"/>
  <c r="F9" i="25"/>
  <c r="E13" i="37"/>
  <c r="K28" i="27"/>
  <c r="F27" i="2"/>
  <c r="F65" i="22"/>
  <c r="F116" i="25"/>
  <c r="F127" i="25" s="1"/>
  <c r="F138" i="25" s="1"/>
  <c r="F161" i="25" s="1"/>
  <c r="F172" i="25" s="1"/>
  <c r="F183" i="25" s="1"/>
  <c r="F149" i="25" s="1"/>
  <c r="E49" i="41"/>
  <c r="E69" i="41" s="1"/>
  <c r="F117" i="25"/>
  <c r="F119" i="25" s="1"/>
  <c r="F213" i="25"/>
  <c r="E50" i="41"/>
  <c r="E70" i="41" s="1"/>
  <c r="F128" i="25"/>
  <c r="F130" i="25" s="1"/>
  <c r="F214" i="25"/>
  <c r="E52" i="41"/>
  <c r="E72" i="41" s="1"/>
  <c r="F162" i="25"/>
  <c r="F164" i="25" s="1"/>
  <c r="F217" i="25"/>
  <c r="E51" i="41"/>
  <c r="E61" i="41" s="1"/>
  <c r="H173" i="25"/>
  <c r="H218" i="25"/>
  <c r="C51" i="41"/>
  <c r="C71" i="41" s="1"/>
  <c r="D215" i="25"/>
  <c r="D80" i="25"/>
  <c r="D173" i="25"/>
  <c r="D175" i="25" s="1"/>
  <c r="D218" i="25"/>
  <c r="I53" i="41"/>
  <c r="I63" i="41" s="1"/>
  <c r="J80" i="25"/>
  <c r="J218" i="25"/>
  <c r="J173" i="25"/>
  <c r="J175" i="25" s="1"/>
  <c r="I51" i="41"/>
  <c r="I61" i="41" s="1"/>
  <c r="J215" i="25"/>
  <c r="D10" i="37"/>
  <c r="E11" i="25"/>
  <c r="S65" i="22"/>
  <c r="L156" i="25"/>
  <c r="F69" i="41"/>
  <c r="C70" i="41"/>
  <c r="G62" i="41"/>
  <c r="D72" i="41"/>
  <c r="I72" i="41"/>
  <c r="I62" i="41"/>
  <c r="F27" i="41"/>
  <c r="F34" i="41" s="1"/>
  <c r="H27" i="41"/>
  <c r="H34" i="41" s="1"/>
  <c r="J34" i="41"/>
  <c r="G16" i="41"/>
  <c r="D27" i="41"/>
  <c r="D34" i="41" s="1"/>
  <c r="D48" i="41"/>
  <c r="D58" i="41" s="1"/>
  <c r="D68" i="41" s="1"/>
  <c r="D37" i="41"/>
  <c r="H9" i="41"/>
  <c r="E16" i="41"/>
  <c r="I34" i="41"/>
  <c r="D9" i="41"/>
  <c r="E34" i="41"/>
  <c r="E48" i="41"/>
  <c r="E58" i="41" s="1"/>
  <c r="E68" i="41" s="1"/>
  <c r="E37" i="41"/>
  <c r="I37" i="41"/>
  <c r="I48" i="41"/>
  <c r="I58" i="41" s="1"/>
  <c r="I68" i="41" s="1"/>
  <c r="F16" i="41"/>
  <c r="J16" i="41"/>
  <c r="F21" i="41"/>
  <c r="J21" i="41"/>
  <c r="H48" i="41"/>
  <c r="H58" i="41" s="1"/>
  <c r="H68" i="41" s="1"/>
  <c r="H37" i="41"/>
  <c r="F48" i="41"/>
  <c r="F58" i="41" s="1"/>
  <c r="F68" i="41" s="1"/>
  <c r="F37" i="41"/>
  <c r="J48" i="41"/>
  <c r="J58" i="41" s="1"/>
  <c r="J68" i="41" s="1"/>
  <c r="J37" i="41"/>
  <c r="F9" i="41"/>
  <c r="J9" i="41"/>
  <c r="I16" i="41"/>
  <c r="C53" i="41"/>
  <c r="C48" i="41"/>
  <c r="C58" i="41" s="1"/>
  <c r="C68" i="41" s="1"/>
  <c r="C37" i="41"/>
  <c r="G48" i="41"/>
  <c r="G58" i="41" s="1"/>
  <c r="G68" i="41" s="1"/>
  <c r="G37" i="41"/>
  <c r="D16" i="41"/>
  <c r="H16" i="41"/>
  <c r="C16" i="41"/>
  <c r="D21" i="41"/>
  <c r="H21" i="41"/>
  <c r="C27" i="41"/>
  <c r="G27" i="41"/>
  <c r="F218" i="25" l="1"/>
  <c r="E53" i="41"/>
  <c r="E63" i="41" s="1"/>
  <c r="F62" i="41"/>
  <c r="G51" i="41"/>
  <c r="H80" i="25"/>
  <c r="J70" i="41"/>
  <c r="D60" i="41"/>
  <c r="E71" i="41"/>
  <c r="C61" i="41"/>
  <c r="E60" i="41"/>
  <c r="G70" i="41"/>
  <c r="G59" i="41"/>
  <c r="I73" i="41"/>
  <c r="H72" i="41"/>
  <c r="H70" i="41"/>
  <c r="H69" i="41"/>
  <c r="C69" i="41"/>
  <c r="G73" i="41"/>
  <c r="I70" i="41"/>
  <c r="D5" i="37"/>
  <c r="F173" i="25"/>
  <c r="F175" i="25" s="1"/>
  <c r="J69" i="41"/>
  <c r="H175" i="25"/>
  <c r="H130" i="25"/>
  <c r="D133" i="25" s="1"/>
  <c r="E62" i="41"/>
  <c r="D59" i="41"/>
  <c r="E73" i="41"/>
  <c r="I69" i="41"/>
  <c r="F60" i="41"/>
  <c r="J62" i="41"/>
  <c r="E13" i="25"/>
  <c r="C72" i="41"/>
  <c r="E59" i="41"/>
  <c r="I122" i="25"/>
  <c r="J122" i="25" s="1"/>
  <c r="K122" i="25" s="1"/>
  <c r="L122" i="25" s="1"/>
  <c r="M122" i="25" s="1"/>
  <c r="N122" i="25" s="1"/>
  <c r="O122" i="25" s="1"/>
  <c r="P122" i="25" s="1"/>
  <c r="Q122" i="25" s="1"/>
  <c r="R122" i="25" s="1"/>
  <c r="K127" i="25"/>
  <c r="H164" i="25"/>
  <c r="D169" i="25" s="1"/>
  <c r="I71" i="41"/>
  <c r="D154" i="25"/>
  <c r="D157" i="25"/>
  <c r="D156" i="25"/>
  <c r="D122" i="25"/>
  <c r="D121" i="25"/>
  <c r="D124" i="25"/>
  <c r="D123" i="25"/>
  <c r="D125" i="25"/>
  <c r="D158" i="25"/>
  <c r="F51" i="41"/>
  <c r="F61" i="41" s="1"/>
  <c r="G215" i="25"/>
  <c r="F53" i="41"/>
  <c r="F63" i="41" s="1"/>
  <c r="G218" i="25"/>
  <c r="G80" i="25"/>
  <c r="G173" i="25"/>
  <c r="G175" i="25" s="1"/>
  <c r="D51" i="41"/>
  <c r="D61" i="41" s="1"/>
  <c r="E215" i="25"/>
  <c r="H53" i="41"/>
  <c r="H63" i="41" s="1"/>
  <c r="I218" i="25"/>
  <c r="I173" i="25"/>
  <c r="I175" i="25" s="1"/>
  <c r="I80" i="25"/>
  <c r="D53" i="41"/>
  <c r="D63" i="41" s="1"/>
  <c r="E218" i="25"/>
  <c r="E80" i="25"/>
  <c r="E173" i="25"/>
  <c r="E175" i="25" s="1"/>
  <c r="K215" i="25"/>
  <c r="F11" i="25"/>
  <c r="F13" i="25" s="1"/>
  <c r="E10" i="37"/>
  <c r="E5" i="37" s="1"/>
  <c r="J53" i="41"/>
  <c r="J73" i="41" s="1"/>
  <c r="K218" i="25"/>
  <c r="K80" i="25"/>
  <c r="K173" i="25"/>
  <c r="K175" i="25" s="1"/>
  <c r="I179" i="25" s="1"/>
  <c r="J179" i="25" s="1"/>
  <c r="K179" i="25" s="1"/>
  <c r="L179" i="25" s="1"/>
  <c r="H51" i="41"/>
  <c r="H61" i="41" s="1"/>
  <c r="I215" i="25"/>
  <c r="D11" i="25"/>
  <c r="D13" i="25" s="1"/>
  <c r="C10" i="37"/>
  <c r="C5" i="37" s="1"/>
  <c r="T65" i="22"/>
  <c r="M123" i="25"/>
  <c r="L168" i="25"/>
  <c r="M134" i="25"/>
  <c r="M156" i="25"/>
  <c r="C63" i="41"/>
  <c r="C73" i="41"/>
  <c r="J51" i="41"/>
  <c r="C34" i="41"/>
  <c r="G34" i="41"/>
  <c r="G61" i="41" l="1"/>
  <c r="G71" i="41"/>
  <c r="D135" i="25"/>
  <c r="D134" i="25"/>
  <c r="F73" i="41"/>
  <c r="D132" i="25"/>
  <c r="F71" i="41"/>
  <c r="D136" i="25"/>
  <c r="H73" i="41"/>
  <c r="D71" i="41"/>
  <c r="D73" i="41"/>
  <c r="H71" i="41"/>
  <c r="J63" i="41"/>
  <c r="D170" i="25"/>
  <c r="D167" i="25"/>
  <c r="D168" i="25"/>
  <c r="D166" i="25"/>
  <c r="K138" i="25"/>
  <c r="L127" i="25"/>
  <c r="M127" i="25" s="1"/>
  <c r="N127" i="25" s="1"/>
  <c r="O127" i="25" s="1"/>
  <c r="P127" i="25" s="1"/>
  <c r="Q127" i="25" s="1"/>
  <c r="R127" i="25" s="1"/>
  <c r="S127" i="25" s="1"/>
  <c r="T127" i="25" s="1"/>
  <c r="U127" i="25" s="1"/>
  <c r="I133" i="25"/>
  <c r="J133" i="25" s="1"/>
  <c r="K133" i="25" s="1"/>
  <c r="L133" i="25" s="1"/>
  <c r="M133" i="25" s="1"/>
  <c r="N133" i="25" s="1"/>
  <c r="O133" i="25" s="1"/>
  <c r="P133" i="25" s="1"/>
  <c r="Q133" i="25" s="1"/>
  <c r="R133" i="25" s="1"/>
  <c r="D178" i="25"/>
  <c r="D177" i="25"/>
  <c r="D181" i="25"/>
  <c r="D180" i="25"/>
  <c r="D179" i="25"/>
  <c r="U65" i="22"/>
  <c r="N134" i="25"/>
  <c r="M179" i="25"/>
  <c r="M168" i="25"/>
  <c r="N123" i="25"/>
  <c r="J71" i="41"/>
  <c r="J61" i="41"/>
  <c r="K161" i="25" l="1"/>
  <c r="I144" i="25"/>
  <c r="J144" i="25" s="1"/>
  <c r="K144" i="25" s="1"/>
  <c r="L144" i="25" s="1"/>
  <c r="M144" i="25" s="1"/>
  <c r="N144" i="25" s="1"/>
  <c r="O144" i="25" s="1"/>
  <c r="P144" i="25" s="1"/>
  <c r="Q144" i="25" s="1"/>
  <c r="R144" i="25" s="1"/>
  <c r="L138" i="25"/>
  <c r="M138" i="25" s="1"/>
  <c r="N138" i="25" s="1"/>
  <c r="O138" i="25" s="1"/>
  <c r="P138" i="25" s="1"/>
  <c r="Q138" i="25" s="1"/>
  <c r="R138" i="25" s="1"/>
  <c r="S138" i="25" s="1"/>
  <c r="T138" i="25" s="1"/>
  <c r="U138" i="25" s="1"/>
  <c r="O134" i="25"/>
  <c r="O123" i="25"/>
  <c r="R24" i="8"/>
  <c r="Q24" i="8"/>
  <c r="P24" i="8"/>
  <c r="O24" i="8"/>
  <c r="N24" i="8"/>
  <c r="M24" i="8"/>
  <c r="L24" i="8"/>
  <c r="D22" i="7"/>
  <c r="D7" i="7"/>
  <c r="K22" i="7"/>
  <c r="J22" i="7"/>
  <c r="I22" i="7"/>
  <c r="H22" i="7"/>
  <c r="G22" i="7"/>
  <c r="F22" i="7"/>
  <c r="E22" i="7"/>
  <c r="J66" i="8"/>
  <c r="K16" i="43" s="1"/>
  <c r="I66" i="8"/>
  <c r="J16" i="43" s="1"/>
  <c r="H66" i="8"/>
  <c r="I16" i="43" s="1"/>
  <c r="G66" i="8"/>
  <c r="H16" i="43" s="1"/>
  <c r="F66" i="8"/>
  <c r="G16" i="43" s="1"/>
  <c r="E66" i="8"/>
  <c r="F16" i="43" s="1"/>
  <c r="D66" i="8"/>
  <c r="E16" i="43" s="1"/>
  <c r="C66" i="8"/>
  <c r="D16" i="43" s="1"/>
  <c r="L195" i="1"/>
  <c r="J75" i="8"/>
  <c r="I75" i="8"/>
  <c r="H75" i="8"/>
  <c r="G75" i="8"/>
  <c r="F75" i="8"/>
  <c r="E75" i="8"/>
  <c r="D75" i="8"/>
  <c r="C75" i="8"/>
  <c r="C74" i="8"/>
  <c r="D74" i="8"/>
  <c r="E74" i="8"/>
  <c r="F74" i="8"/>
  <c r="G74" i="8"/>
  <c r="H74" i="8"/>
  <c r="I74" i="8"/>
  <c r="J74" i="8"/>
  <c r="J72" i="8"/>
  <c r="I72" i="8"/>
  <c r="H72" i="8"/>
  <c r="G72" i="8"/>
  <c r="F72" i="8"/>
  <c r="E72" i="8"/>
  <c r="D72" i="8"/>
  <c r="J71" i="8"/>
  <c r="I71" i="8"/>
  <c r="H71" i="8"/>
  <c r="G71" i="8"/>
  <c r="F71" i="8"/>
  <c r="E71" i="8"/>
  <c r="D71" i="8"/>
  <c r="C72" i="8"/>
  <c r="C71" i="8"/>
  <c r="I167" i="25" l="1"/>
  <c r="J167" i="25" s="1"/>
  <c r="K167" i="25" s="1"/>
  <c r="L167" i="25" s="1"/>
  <c r="M167" i="25" s="1"/>
  <c r="N167" i="25" s="1"/>
  <c r="O167" i="25" s="1"/>
  <c r="P167" i="25" s="1"/>
  <c r="Q167" i="25" s="1"/>
  <c r="R167" i="25" s="1"/>
  <c r="L161" i="25"/>
  <c r="M161" i="25" s="1"/>
  <c r="N161" i="25" s="1"/>
  <c r="O161" i="25" s="1"/>
  <c r="P161" i="25" s="1"/>
  <c r="Q161" i="25" s="1"/>
  <c r="R161" i="25" s="1"/>
  <c r="S161" i="25" s="1"/>
  <c r="T161" i="25" s="1"/>
  <c r="U161" i="25" s="1"/>
  <c r="K172" i="25"/>
  <c r="D46" i="43"/>
  <c r="P123" i="25"/>
  <c r="P134" i="25"/>
  <c r="J44" i="8"/>
  <c r="I44" i="8"/>
  <c r="H44" i="8"/>
  <c r="G44" i="8"/>
  <c r="F44" i="8"/>
  <c r="E44" i="8"/>
  <c r="D44" i="8"/>
  <c r="C44" i="8"/>
  <c r="C48" i="8"/>
  <c r="D39" i="8"/>
  <c r="E39" i="8"/>
  <c r="F39" i="8"/>
  <c r="G39" i="8"/>
  <c r="H39" i="8"/>
  <c r="I39" i="8"/>
  <c r="J39" i="8"/>
  <c r="J108" i="8" s="1"/>
  <c r="C39" i="8"/>
  <c r="J37" i="8"/>
  <c r="J106" i="8" s="1"/>
  <c r="I37" i="8"/>
  <c r="H37" i="8"/>
  <c r="G37" i="8"/>
  <c r="F37" i="8"/>
  <c r="E37" i="8"/>
  <c r="D37" i="8"/>
  <c r="C37" i="8"/>
  <c r="D36" i="8"/>
  <c r="E36" i="8"/>
  <c r="F36" i="8"/>
  <c r="G36" i="8"/>
  <c r="H36" i="8"/>
  <c r="I36" i="8"/>
  <c r="J36" i="8"/>
  <c r="J105" i="8" s="1"/>
  <c r="C36" i="8"/>
  <c r="J31" i="8"/>
  <c r="I31" i="8"/>
  <c r="H31" i="8"/>
  <c r="G31" i="8"/>
  <c r="F31" i="8"/>
  <c r="E31" i="8"/>
  <c r="D31" i="8"/>
  <c r="C31" i="8"/>
  <c r="J29" i="8"/>
  <c r="J101" i="8" s="1"/>
  <c r="I29" i="8"/>
  <c r="H29" i="8"/>
  <c r="G29" i="8"/>
  <c r="F29" i="8"/>
  <c r="E29" i="8"/>
  <c r="D29" i="8"/>
  <c r="C29" i="8"/>
  <c r="J28" i="8"/>
  <c r="I28" i="8"/>
  <c r="E15" i="25" s="1"/>
  <c r="H28" i="8"/>
  <c r="D15" i="25" s="1"/>
  <c r="G28" i="8"/>
  <c r="F28" i="8"/>
  <c r="E28" i="8"/>
  <c r="D28" i="8"/>
  <c r="C28" i="8"/>
  <c r="D21" i="8"/>
  <c r="D14" i="41" s="1"/>
  <c r="D15" i="41" s="1"/>
  <c r="E21" i="8"/>
  <c r="E14" i="41" s="1"/>
  <c r="E15" i="41" s="1"/>
  <c r="F21" i="8"/>
  <c r="F14" i="41" s="1"/>
  <c r="F15" i="41" s="1"/>
  <c r="G21" i="8"/>
  <c r="G14" i="41" s="1"/>
  <c r="G15" i="41" s="1"/>
  <c r="H21" i="8"/>
  <c r="H14" i="41" s="1"/>
  <c r="I21" i="8"/>
  <c r="I14" i="41" s="1"/>
  <c r="J21" i="8"/>
  <c r="J14" i="41" s="1"/>
  <c r="C21" i="8"/>
  <c r="C14" i="41" s="1"/>
  <c r="C15" i="41" s="1"/>
  <c r="J20" i="8"/>
  <c r="J98" i="8" s="1"/>
  <c r="I20" i="8"/>
  <c r="H20" i="8"/>
  <c r="G20" i="8"/>
  <c r="F20" i="8"/>
  <c r="E20" i="8"/>
  <c r="D20" i="8"/>
  <c r="C20" i="8"/>
  <c r="D16" i="8"/>
  <c r="E11" i="43" s="1"/>
  <c r="E20" i="43" s="1"/>
  <c r="E16" i="8"/>
  <c r="F11" i="43" s="1"/>
  <c r="F20" i="43" s="1"/>
  <c r="F16" i="8"/>
  <c r="G11" i="43" s="1"/>
  <c r="G20" i="43" s="1"/>
  <c r="G16" i="8"/>
  <c r="H11" i="43" s="1"/>
  <c r="H20" i="43" s="1"/>
  <c r="H16" i="8"/>
  <c r="I11" i="43" s="1"/>
  <c r="I20" i="43" s="1"/>
  <c r="I16" i="8"/>
  <c r="J11" i="43" s="1"/>
  <c r="J20" i="43" s="1"/>
  <c r="J16" i="8"/>
  <c r="K11" i="43" s="1"/>
  <c r="K20" i="43" s="1"/>
  <c r="I38" i="43" s="1"/>
  <c r="J38" i="43" s="1"/>
  <c r="K38" i="43" s="1"/>
  <c r="L38" i="43" s="1"/>
  <c r="M38" i="43" s="1"/>
  <c r="D15" i="8"/>
  <c r="D97" i="8" s="1"/>
  <c r="E15" i="8"/>
  <c r="E97" i="8" s="1"/>
  <c r="F15" i="8"/>
  <c r="F97" i="8" s="1"/>
  <c r="G15" i="8"/>
  <c r="G97" i="8" s="1"/>
  <c r="H15" i="8"/>
  <c r="H97" i="8" s="1"/>
  <c r="I15" i="8"/>
  <c r="I97" i="8" s="1"/>
  <c r="J15" i="8"/>
  <c r="J97" i="8" s="1"/>
  <c r="C15" i="8"/>
  <c r="C97" i="8" s="1"/>
  <c r="D14" i="8"/>
  <c r="D96" i="8" s="1"/>
  <c r="E14" i="8"/>
  <c r="E96" i="8" s="1"/>
  <c r="F14" i="8"/>
  <c r="F96" i="8" s="1"/>
  <c r="G14" i="8"/>
  <c r="G96" i="8" s="1"/>
  <c r="H14" i="8"/>
  <c r="H96" i="8" s="1"/>
  <c r="I14" i="8"/>
  <c r="I96" i="8" s="1"/>
  <c r="J14" i="8"/>
  <c r="J96" i="8" s="1"/>
  <c r="C14" i="8"/>
  <c r="C96" i="8" s="1"/>
  <c r="J11" i="8"/>
  <c r="J95" i="8" s="1"/>
  <c r="I11" i="8"/>
  <c r="I95" i="8" s="1"/>
  <c r="H11" i="8"/>
  <c r="H95" i="8" s="1"/>
  <c r="G11" i="8"/>
  <c r="G95" i="8" s="1"/>
  <c r="F11" i="8"/>
  <c r="F95" i="8" s="1"/>
  <c r="E11" i="8"/>
  <c r="E95" i="8" s="1"/>
  <c r="D11" i="8"/>
  <c r="D95" i="8" s="1"/>
  <c r="J10" i="8"/>
  <c r="J94" i="8" s="1"/>
  <c r="I10" i="8"/>
  <c r="I94" i="8" s="1"/>
  <c r="H10" i="8"/>
  <c r="H94" i="8" s="1"/>
  <c r="G10" i="8"/>
  <c r="G94" i="8" s="1"/>
  <c r="F10" i="8"/>
  <c r="F94" i="8" s="1"/>
  <c r="E10" i="8"/>
  <c r="E94" i="8" s="1"/>
  <c r="D10" i="8"/>
  <c r="D94" i="8" s="1"/>
  <c r="C11" i="8"/>
  <c r="C10" i="8"/>
  <c r="C94" i="8" s="1"/>
  <c r="J8" i="8"/>
  <c r="J92" i="8" s="1"/>
  <c r="I8" i="8"/>
  <c r="I92" i="8" s="1"/>
  <c r="H8" i="8"/>
  <c r="H92" i="8" s="1"/>
  <c r="G8" i="8"/>
  <c r="G92" i="8" s="1"/>
  <c r="F8" i="8"/>
  <c r="F92" i="8" s="1"/>
  <c r="E8" i="8"/>
  <c r="E92" i="8" s="1"/>
  <c r="D8" i="8"/>
  <c r="D92" i="8" s="1"/>
  <c r="C8" i="8"/>
  <c r="C92" i="8" s="1"/>
  <c r="D6" i="8"/>
  <c r="E6" i="8"/>
  <c r="F6" i="8"/>
  <c r="G6" i="8"/>
  <c r="H6" i="8"/>
  <c r="I6" i="8"/>
  <c r="J6" i="8"/>
  <c r="C6" i="8"/>
  <c r="J5" i="8"/>
  <c r="K12" i="45" s="1"/>
  <c r="I5" i="8"/>
  <c r="J12" i="45" s="1"/>
  <c r="H5" i="8"/>
  <c r="I12" i="45" s="1"/>
  <c r="G5" i="8"/>
  <c r="H12" i="45" s="1"/>
  <c r="F5" i="8"/>
  <c r="G12" i="45" s="1"/>
  <c r="E5" i="8"/>
  <c r="F12" i="45" s="1"/>
  <c r="D5" i="8"/>
  <c r="E12" i="45" s="1"/>
  <c r="C5" i="8"/>
  <c r="D12" i="45" s="1"/>
  <c r="J54" i="8"/>
  <c r="J55" i="8"/>
  <c r="I54" i="8"/>
  <c r="I55" i="8"/>
  <c r="H54" i="8"/>
  <c r="H55" i="8"/>
  <c r="G54" i="8"/>
  <c r="G55" i="8"/>
  <c r="F54" i="8"/>
  <c r="F55" i="8"/>
  <c r="E54" i="8"/>
  <c r="E55" i="8"/>
  <c r="D54" i="8"/>
  <c r="D55" i="8"/>
  <c r="C55" i="8"/>
  <c r="C54" i="8"/>
  <c r="T49" i="39"/>
  <c r="S49" i="39"/>
  <c r="R49" i="39"/>
  <c r="Q49" i="39"/>
  <c r="P49" i="39"/>
  <c r="O49" i="39"/>
  <c r="N49" i="39"/>
  <c r="M49" i="39"/>
  <c r="L49" i="39"/>
  <c r="K49" i="39"/>
  <c r="J49" i="39"/>
  <c r="I49" i="39"/>
  <c r="H49" i="39"/>
  <c r="G49" i="39"/>
  <c r="F49" i="39"/>
  <c r="E49" i="39"/>
  <c r="D49" i="39"/>
  <c r="T47" i="39"/>
  <c r="T53" i="39" s="1"/>
  <c r="S47" i="39"/>
  <c r="R47" i="39"/>
  <c r="Q47" i="39"/>
  <c r="P47" i="39"/>
  <c r="O47" i="39"/>
  <c r="N47" i="39"/>
  <c r="M47" i="39"/>
  <c r="L47" i="39"/>
  <c r="T39" i="39"/>
  <c r="S39" i="39"/>
  <c r="R39" i="39"/>
  <c r="Q39" i="39"/>
  <c r="P39" i="39"/>
  <c r="O39" i="39"/>
  <c r="N39" i="39"/>
  <c r="M39" i="39"/>
  <c r="L39" i="39"/>
  <c r="K39" i="39"/>
  <c r="G39" i="39"/>
  <c r="F39" i="39"/>
  <c r="E39" i="39"/>
  <c r="T30" i="39"/>
  <c r="S30" i="39"/>
  <c r="R30" i="39"/>
  <c r="Q30" i="39"/>
  <c r="P30" i="39"/>
  <c r="O30" i="39"/>
  <c r="N30" i="39"/>
  <c r="M30" i="39"/>
  <c r="L30" i="39"/>
  <c r="K30" i="39"/>
  <c r="J7" i="39"/>
  <c r="I7" i="39"/>
  <c r="H7" i="39"/>
  <c r="G7" i="39"/>
  <c r="F7" i="39"/>
  <c r="E7" i="39"/>
  <c r="D7" i="39"/>
  <c r="T6" i="39"/>
  <c r="S6" i="39"/>
  <c r="R6" i="39"/>
  <c r="Q6" i="39"/>
  <c r="P6" i="39"/>
  <c r="O6" i="39"/>
  <c r="N6" i="39"/>
  <c r="M6" i="39"/>
  <c r="L6" i="39"/>
  <c r="K6" i="39"/>
  <c r="T5" i="39"/>
  <c r="S5" i="39"/>
  <c r="R5" i="39"/>
  <c r="Q5" i="39"/>
  <c r="P5" i="39"/>
  <c r="O5" i="39"/>
  <c r="N5" i="39"/>
  <c r="M5" i="39"/>
  <c r="L5" i="39"/>
  <c r="K5" i="39"/>
  <c r="T4" i="39"/>
  <c r="S4" i="39"/>
  <c r="R4" i="39"/>
  <c r="Q4" i="39"/>
  <c r="P4" i="39"/>
  <c r="O4" i="39"/>
  <c r="N4" i="39"/>
  <c r="M4" i="39"/>
  <c r="L4" i="39"/>
  <c r="K4" i="39"/>
  <c r="E39" i="7" l="1"/>
  <c r="D104" i="50" s="1"/>
  <c r="H39" i="7"/>
  <c r="G104" i="50" s="1"/>
  <c r="K183" i="25"/>
  <c r="I178" i="25"/>
  <c r="J178" i="25" s="1"/>
  <c r="K178" i="25" s="1"/>
  <c r="L178" i="25" s="1"/>
  <c r="M178" i="25" s="1"/>
  <c r="N178" i="25" s="1"/>
  <c r="O178" i="25" s="1"/>
  <c r="P178" i="25" s="1"/>
  <c r="Q178" i="25" s="1"/>
  <c r="R178" i="25" s="1"/>
  <c r="L172" i="25"/>
  <c r="C30" i="37"/>
  <c r="I39" i="7"/>
  <c r="H104" i="50" s="1"/>
  <c r="D30" i="37"/>
  <c r="J39" i="7"/>
  <c r="I104" i="50" s="1"/>
  <c r="G39" i="7"/>
  <c r="F104" i="50" s="1"/>
  <c r="E30" i="37"/>
  <c r="F30" i="37" s="1"/>
  <c r="G30" i="37" s="1"/>
  <c r="H30" i="37" s="1"/>
  <c r="I30" i="37" s="1"/>
  <c r="J30" i="37" s="1"/>
  <c r="K30" i="37" s="1"/>
  <c r="L30" i="37" s="1"/>
  <c r="M30" i="37" s="1"/>
  <c r="N30" i="37" s="1"/>
  <c r="O30" i="37" s="1"/>
  <c r="K39" i="7"/>
  <c r="J104" i="50" s="1"/>
  <c r="F39" i="7"/>
  <c r="E104" i="50" s="1"/>
  <c r="D12" i="43"/>
  <c r="H12" i="43"/>
  <c r="E14" i="37"/>
  <c r="J15" i="41"/>
  <c r="E15" i="37" s="1"/>
  <c r="F26" i="2"/>
  <c r="E12" i="43"/>
  <c r="I12" i="43"/>
  <c r="L11" i="8"/>
  <c r="C95" i="8"/>
  <c r="D14" i="37"/>
  <c r="I15" i="41"/>
  <c r="D15" i="37" s="1"/>
  <c r="F12" i="43"/>
  <c r="J12" i="43"/>
  <c r="C14" i="37"/>
  <c r="H15" i="41"/>
  <c r="C15" i="37" s="1"/>
  <c r="J100" i="8"/>
  <c r="F15" i="25"/>
  <c r="G12" i="43"/>
  <c r="G23" i="42"/>
  <c r="K12" i="43"/>
  <c r="Q123" i="25"/>
  <c r="Q134" i="25"/>
  <c r="L10" i="8"/>
  <c r="Q14" i="8"/>
  <c r="L21" i="8"/>
  <c r="M5" i="8"/>
  <c r="Q5" i="8"/>
  <c r="P10" i="8"/>
  <c r="M11" i="8"/>
  <c r="Q11" i="8"/>
  <c r="O14" i="8"/>
  <c r="R16" i="8"/>
  <c r="N16" i="8"/>
  <c r="R21" i="8"/>
  <c r="N31" i="8"/>
  <c r="R31" i="8"/>
  <c r="M44" i="8"/>
  <c r="Q44" i="8"/>
  <c r="O5" i="8"/>
  <c r="N10" i="8"/>
  <c r="R10" i="8"/>
  <c r="O11" i="8"/>
  <c r="M14" i="8"/>
  <c r="P16" i="8"/>
  <c r="P21" i="8"/>
  <c r="L31" i="8"/>
  <c r="P31" i="8"/>
  <c r="O44" i="8"/>
  <c r="N21" i="8"/>
  <c r="N5" i="8"/>
  <c r="R5" i="8"/>
  <c r="R6" i="8"/>
  <c r="N6" i="8"/>
  <c r="N8" i="8"/>
  <c r="R8" i="8"/>
  <c r="M10" i="8"/>
  <c r="Q10" i="8"/>
  <c r="N11" i="8"/>
  <c r="R11" i="8"/>
  <c r="R14" i="8"/>
  <c r="N14" i="8"/>
  <c r="R97" i="8"/>
  <c r="R15" i="8"/>
  <c r="N15" i="8"/>
  <c r="Q16" i="8"/>
  <c r="M16" i="8"/>
  <c r="F98" i="8"/>
  <c r="O20" i="8"/>
  <c r="Q21" i="8"/>
  <c r="M21" i="8"/>
  <c r="F100" i="8"/>
  <c r="O28" i="8"/>
  <c r="F101" i="8"/>
  <c r="O29" i="8"/>
  <c r="O31" i="8"/>
  <c r="H105" i="8"/>
  <c r="Q36" i="8"/>
  <c r="D105" i="8"/>
  <c r="M36" i="8"/>
  <c r="F106" i="8"/>
  <c r="O37" i="8"/>
  <c r="H108" i="8"/>
  <c r="Q39" i="8"/>
  <c r="D108" i="8"/>
  <c r="M39" i="8"/>
  <c r="N44" i="8"/>
  <c r="R44" i="8"/>
  <c r="Q6" i="8"/>
  <c r="M6" i="8"/>
  <c r="O8" i="8"/>
  <c r="Q15" i="8"/>
  <c r="M15" i="8"/>
  <c r="C98" i="8"/>
  <c r="L20" i="8"/>
  <c r="G98" i="8"/>
  <c r="P20" i="8"/>
  <c r="C100" i="8"/>
  <c r="L28" i="8"/>
  <c r="G100" i="8"/>
  <c r="P28" i="8"/>
  <c r="C101" i="8"/>
  <c r="L29" i="8"/>
  <c r="G101" i="8"/>
  <c r="P29" i="8"/>
  <c r="C105" i="8"/>
  <c r="L36" i="8"/>
  <c r="G105" i="8"/>
  <c r="P36" i="8"/>
  <c r="C106" i="8"/>
  <c r="L37" i="8"/>
  <c r="G106" i="8"/>
  <c r="P37" i="8"/>
  <c r="C108" i="8"/>
  <c r="L39" i="8"/>
  <c r="G108" i="8"/>
  <c r="P39" i="8"/>
  <c r="L5" i="8"/>
  <c r="P5" i="8"/>
  <c r="L6" i="8"/>
  <c r="P6" i="8"/>
  <c r="L8" i="8"/>
  <c r="P8" i="8"/>
  <c r="O10" i="8"/>
  <c r="P11" i="8"/>
  <c r="L14" i="8"/>
  <c r="P14" i="8"/>
  <c r="L97" i="8"/>
  <c r="L15" i="8"/>
  <c r="P97" i="8"/>
  <c r="P15" i="8"/>
  <c r="O16" i="8"/>
  <c r="D98" i="8"/>
  <c r="M20" i="8"/>
  <c r="H98" i="8"/>
  <c r="Q20" i="8"/>
  <c r="O21" i="8"/>
  <c r="D100" i="8"/>
  <c r="M28" i="8"/>
  <c r="H100" i="8"/>
  <c r="Q28" i="8"/>
  <c r="D101" i="8"/>
  <c r="M29" i="8"/>
  <c r="H101" i="8"/>
  <c r="Q29" i="8"/>
  <c r="M31" i="8"/>
  <c r="Q31" i="8"/>
  <c r="F105" i="8"/>
  <c r="O105" i="8" s="1"/>
  <c r="O36" i="8"/>
  <c r="D106" i="8"/>
  <c r="M37" i="8"/>
  <c r="H106" i="8"/>
  <c r="Q37" i="8"/>
  <c r="F108" i="8"/>
  <c r="O39" i="8"/>
  <c r="L44" i="8"/>
  <c r="P44" i="8"/>
  <c r="O6" i="8"/>
  <c r="M8" i="8"/>
  <c r="Q8" i="8"/>
  <c r="O15" i="8"/>
  <c r="E98" i="8"/>
  <c r="N20" i="8"/>
  <c r="I98" i="8"/>
  <c r="R98" i="8" s="1"/>
  <c r="R20" i="8"/>
  <c r="E100" i="8"/>
  <c r="N28" i="8"/>
  <c r="I100" i="8"/>
  <c r="R28" i="8"/>
  <c r="E101" i="8"/>
  <c r="N29" i="8"/>
  <c r="I101" i="8"/>
  <c r="R101" i="8" s="1"/>
  <c r="R29" i="8"/>
  <c r="I105" i="8"/>
  <c r="R105" i="8" s="1"/>
  <c r="R36" i="8"/>
  <c r="E105" i="8"/>
  <c r="N36" i="8"/>
  <c r="E106" i="8"/>
  <c r="N37" i="8"/>
  <c r="I106" i="8"/>
  <c r="R37" i="8"/>
  <c r="I108" i="8"/>
  <c r="R108" i="8" s="1"/>
  <c r="R39" i="8"/>
  <c r="E108" i="8"/>
  <c r="N39" i="8"/>
  <c r="J70" i="8"/>
  <c r="G70" i="8"/>
  <c r="E70" i="8"/>
  <c r="I70" i="8"/>
  <c r="F70" i="8"/>
  <c r="H70" i="8"/>
  <c r="D70" i="8"/>
  <c r="C70" i="8"/>
  <c r="T54" i="39"/>
  <c r="T55" i="39"/>
  <c r="T57" i="39"/>
  <c r="N105" i="8" l="1"/>
  <c r="R100" i="8"/>
  <c r="M172" i="25"/>
  <c r="L183" i="25"/>
  <c r="K149" i="25"/>
  <c r="I189" i="25"/>
  <c r="J189" i="25" s="1"/>
  <c r="K189" i="25" s="1"/>
  <c r="L189" i="25" s="1"/>
  <c r="M189" i="25" s="1"/>
  <c r="N189" i="25" s="1"/>
  <c r="O189" i="25" s="1"/>
  <c r="P189" i="25" s="1"/>
  <c r="Q189" i="25" s="1"/>
  <c r="R189" i="25" s="1"/>
  <c r="O108" i="8"/>
  <c r="L108" i="8"/>
  <c r="L105" i="8"/>
  <c r="P105" i="8"/>
  <c r="C11" i="37"/>
  <c r="D11" i="37"/>
  <c r="R106" i="8"/>
  <c r="E11" i="37"/>
  <c r="N106" i="8"/>
  <c r="R134" i="25"/>
  <c r="R123" i="25"/>
  <c r="N108" i="8"/>
  <c r="O97" i="8"/>
  <c r="P108" i="8"/>
  <c r="L95" i="8"/>
  <c r="N101" i="8"/>
  <c r="N100" i="8"/>
  <c r="N98" i="8"/>
  <c r="N95" i="8"/>
  <c r="O101" i="8"/>
  <c r="O100" i="8"/>
  <c r="O98" i="8"/>
  <c r="O95" i="8"/>
  <c r="M95" i="8"/>
  <c r="Q98" i="8"/>
  <c r="P106" i="8"/>
  <c r="P101" i="8"/>
  <c r="P100" i="8"/>
  <c r="P98" i="8"/>
  <c r="M97" i="8"/>
  <c r="M108" i="8"/>
  <c r="O106" i="8"/>
  <c r="Q105" i="8"/>
  <c r="R95" i="8"/>
  <c r="M106" i="8"/>
  <c r="M101" i="8"/>
  <c r="M100" i="8"/>
  <c r="N97" i="8"/>
  <c r="P95" i="8"/>
  <c r="M98" i="8"/>
  <c r="L106" i="8"/>
  <c r="L101" i="8"/>
  <c r="L100" i="8"/>
  <c r="L98" i="8"/>
  <c r="Q97" i="8"/>
  <c r="Q108" i="8"/>
  <c r="M105" i="8"/>
  <c r="Q95" i="8"/>
  <c r="Q106" i="8"/>
  <c r="Q101" i="8"/>
  <c r="Q100" i="8"/>
  <c r="T50" i="39"/>
  <c r="I155" i="25" l="1"/>
  <c r="L149" i="25"/>
  <c r="M149" i="25" s="1"/>
  <c r="N149" i="25" s="1"/>
  <c r="O149" i="25" s="1"/>
  <c r="P149" i="25" s="1"/>
  <c r="Q149" i="25" s="1"/>
  <c r="R149" i="25" s="1"/>
  <c r="S149" i="25" s="1"/>
  <c r="T149" i="25" s="1"/>
  <c r="U149" i="25" s="1"/>
  <c r="M183" i="25"/>
  <c r="N172" i="25"/>
  <c r="K35" i="39"/>
  <c r="L35" i="39"/>
  <c r="D194" i="25" l="1"/>
  <c r="J155" i="25"/>
  <c r="N183" i="25"/>
  <c r="O172" i="25"/>
  <c r="E75" i="22"/>
  <c r="E101" i="22" s="1"/>
  <c r="E142" i="22"/>
  <c r="E130" i="22"/>
  <c r="E131" i="22" s="1"/>
  <c r="F129" i="22"/>
  <c r="G129" i="22" s="1"/>
  <c r="H129" i="22" s="1"/>
  <c r="I129" i="22" s="1"/>
  <c r="J129" i="22" s="1"/>
  <c r="K129" i="22" s="1"/>
  <c r="L129" i="22" s="1"/>
  <c r="M129" i="22" s="1"/>
  <c r="N129" i="22" s="1"/>
  <c r="O129" i="22" s="1"/>
  <c r="P129" i="22" s="1"/>
  <c r="Q129" i="22" s="1"/>
  <c r="E117" i="22"/>
  <c r="F116" i="22"/>
  <c r="E89" i="22"/>
  <c r="E90" i="22" s="1"/>
  <c r="F88" i="22"/>
  <c r="G88" i="22" s="1"/>
  <c r="H88" i="22" s="1"/>
  <c r="I88" i="22" s="1"/>
  <c r="J88" i="22" s="1"/>
  <c r="K88" i="22" s="1"/>
  <c r="L88" i="22" s="1"/>
  <c r="M88" i="22" s="1"/>
  <c r="N88" i="22" s="1"/>
  <c r="O88" i="22" s="1"/>
  <c r="P88" i="22" s="1"/>
  <c r="Q88" i="22" s="1"/>
  <c r="E113" i="3"/>
  <c r="E101" i="3"/>
  <c r="E102" i="3" s="1"/>
  <c r="E103" i="3" s="1"/>
  <c r="F100" i="3"/>
  <c r="G100" i="3" s="1"/>
  <c r="H100" i="3" s="1"/>
  <c r="I100" i="3" s="1"/>
  <c r="J100" i="3" s="1"/>
  <c r="K100" i="3" s="1"/>
  <c r="L100" i="3" s="1"/>
  <c r="M100" i="3" s="1"/>
  <c r="N100" i="3" s="1"/>
  <c r="O100" i="3" s="1"/>
  <c r="P100" i="3" s="1"/>
  <c r="Q100" i="3" s="1"/>
  <c r="E88" i="3"/>
  <c r="E89" i="3" s="1"/>
  <c r="E115" i="3" s="1"/>
  <c r="F87" i="3"/>
  <c r="E139" i="3"/>
  <c r="F139" i="3" s="1"/>
  <c r="G139" i="3" s="1"/>
  <c r="H139" i="3" s="1"/>
  <c r="I139" i="3" s="1"/>
  <c r="J139" i="3" s="1"/>
  <c r="K139" i="3" s="1"/>
  <c r="D141" i="3"/>
  <c r="E141" i="3"/>
  <c r="F141" i="3"/>
  <c r="G141" i="3"/>
  <c r="H141" i="3"/>
  <c r="I141" i="3"/>
  <c r="J141" i="3"/>
  <c r="K141" i="3"/>
  <c r="D142" i="3"/>
  <c r="E142" i="3"/>
  <c r="F142" i="3"/>
  <c r="G142" i="3"/>
  <c r="H142" i="3"/>
  <c r="I142" i="3"/>
  <c r="J142" i="3"/>
  <c r="K142" i="3"/>
  <c r="H143" i="3" l="1"/>
  <c r="E143" i="3"/>
  <c r="D154" i="3"/>
  <c r="P172" i="25"/>
  <c r="O183" i="25"/>
  <c r="E194" i="25"/>
  <c r="K155" i="25"/>
  <c r="F113" i="3"/>
  <c r="F88" i="3"/>
  <c r="G88" i="3" s="1"/>
  <c r="E143" i="22"/>
  <c r="N35" i="39"/>
  <c r="E118" i="22"/>
  <c r="E144" i="22" s="1"/>
  <c r="F142" i="22"/>
  <c r="G116" i="22"/>
  <c r="F117" i="22"/>
  <c r="G117" i="22" s="1"/>
  <c r="H117" i="22" s="1"/>
  <c r="E91" i="22"/>
  <c r="F90" i="22"/>
  <c r="G90" i="22" s="1"/>
  <c r="H90" i="22" s="1"/>
  <c r="I90" i="22" s="1"/>
  <c r="J90" i="22" s="1"/>
  <c r="K90" i="22" s="1"/>
  <c r="L90" i="22" s="1"/>
  <c r="M90" i="22" s="1"/>
  <c r="N90" i="22" s="1"/>
  <c r="O90" i="22" s="1"/>
  <c r="P90" i="22" s="1"/>
  <c r="Q90" i="22" s="1"/>
  <c r="F89" i="22"/>
  <c r="G89" i="22" s="1"/>
  <c r="H89" i="22" s="1"/>
  <c r="I89" i="22" s="1"/>
  <c r="J89" i="22" s="1"/>
  <c r="K89" i="22" s="1"/>
  <c r="L89" i="22" s="1"/>
  <c r="M89" i="22" s="1"/>
  <c r="N89" i="22" s="1"/>
  <c r="O89" i="22" s="1"/>
  <c r="P89" i="22" s="1"/>
  <c r="Q89" i="22" s="1"/>
  <c r="E132" i="22"/>
  <c r="F131" i="22"/>
  <c r="G131" i="22" s="1"/>
  <c r="H131" i="22" s="1"/>
  <c r="I131" i="22" s="1"/>
  <c r="J131" i="22" s="1"/>
  <c r="K131" i="22" s="1"/>
  <c r="L131" i="22" s="1"/>
  <c r="M131" i="22" s="1"/>
  <c r="N131" i="22" s="1"/>
  <c r="O131" i="22" s="1"/>
  <c r="P131" i="22" s="1"/>
  <c r="Q131" i="22" s="1"/>
  <c r="F130" i="22"/>
  <c r="G130" i="22" s="1"/>
  <c r="H130" i="22" s="1"/>
  <c r="I130" i="22" s="1"/>
  <c r="J130" i="22" s="1"/>
  <c r="K130" i="22" s="1"/>
  <c r="L130" i="22" s="1"/>
  <c r="M130" i="22" s="1"/>
  <c r="N130" i="22" s="1"/>
  <c r="O130" i="22" s="1"/>
  <c r="P130" i="22" s="1"/>
  <c r="Q130" i="22" s="1"/>
  <c r="E114" i="3"/>
  <c r="F102" i="3"/>
  <c r="G102" i="3" s="1"/>
  <c r="H102" i="3" s="1"/>
  <c r="I102" i="3" s="1"/>
  <c r="J102" i="3" s="1"/>
  <c r="K102" i="3" s="1"/>
  <c r="L102" i="3" s="1"/>
  <c r="M102" i="3" s="1"/>
  <c r="N102" i="3" s="1"/>
  <c r="O102" i="3" s="1"/>
  <c r="P102" i="3" s="1"/>
  <c r="Q102" i="3" s="1"/>
  <c r="J143" i="3"/>
  <c r="F143" i="3"/>
  <c r="I143" i="3"/>
  <c r="G87" i="3"/>
  <c r="G113" i="3" s="1"/>
  <c r="F101" i="3"/>
  <c r="G101" i="3" s="1"/>
  <c r="H101" i="3" s="1"/>
  <c r="I101" i="3" s="1"/>
  <c r="J101" i="3" s="1"/>
  <c r="K101" i="3" s="1"/>
  <c r="L101" i="3" s="1"/>
  <c r="M101" i="3" s="1"/>
  <c r="N101" i="3" s="1"/>
  <c r="O101" i="3" s="1"/>
  <c r="P101" i="3" s="1"/>
  <c r="Q101" i="3" s="1"/>
  <c r="D143" i="3"/>
  <c r="K143" i="3"/>
  <c r="G143" i="3"/>
  <c r="E104" i="3"/>
  <c r="F103" i="3"/>
  <c r="G103" i="3" s="1"/>
  <c r="H103" i="3" s="1"/>
  <c r="I103" i="3" s="1"/>
  <c r="J103" i="3" s="1"/>
  <c r="K103" i="3" s="1"/>
  <c r="L103" i="3" s="1"/>
  <c r="M103" i="3" s="1"/>
  <c r="N103" i="3" s="1"/>
  <c r="O103" i="3" s="1"/>
  <c r="P103" i="3" s="1"/>
  <c r="Q103" i="3" s="1"/>
  <c r="F89" i="3"/>
  <c r="E90" i="3"/>
  <c r="E60" i="3"/>
  <c r="E72" i="3"/>
  <c r="F59" i="3"/>
  <c r="G59" i="3" s="1"/>
  <c r="E47" i="3"/>
  <c r="F46" i="3"/>
  <c r="I147" i="3" l="1"/>
  <c r="J147" i="3" s="1"/>
  <c r="D146" i="3"/>
  <c r="D149" i="3"/>
  <c r="D145" i="3"/>
  <c r="Q172" i="25"/>
  <c r="P183" i="25"/>
  <c r="L155" i="25"/>
  <c r="F194" i="25"/>
  <c r="F118" i="22"/>
  <c r="G118" i="22" s="1"/>
  <c r="H118" i="22" s="1"/>
  <c r="G46" i="3"/>
  <c r="G75" i="22" s="1"/>
  <c r="F75" i="22"/>
  <c r="F101" i="22" s="1"/>
  <c r="H87" i="3"/>
  <c r="I87" i="3" s="1"/>
  <c r="E48" i="3"/>
  <c r="E77" i="22" s="1"/>
  <c r="E103" i="22" s="1"/>
  <c r="E76" i="22"/>
  <c r="E102" i="22" s="1"/>
  <c r="E119" i="22"/>
  <c r="E145" i="22" s="1"/>
  <c r="F143" i="22"/>
  <c r="G142" i="22"/>
  <c r="H116" i="22"/>
  <c r="E133" i="22"/>
  <c r="F132" i="22"/>
  <c r="G132" i="22" s="1"/>
  <c r="H132" i="22" s="1"/>
  <c r="I132" i="22" s="1"/>
  <c r="J132" i="22" s="1"/>
  <c r="K132" i="22" s="1"/>
  <c r="L132" i="22" s="1"/>
  <c r="M132" i="22" s="1"/>
  <c r="N132" i="22" s="1"/>
  <c r="O132" i="22" s="1"/>
  <c r="P132" i="22" s="1"/>
  <c r="Q132" i="22" s="1"/>
  <c r="H143" i="22"/>
  <c r="I117" i="22"/>
  <c r="G143" i="22"/>
  <c r="E92" i="22"/>
  <c r="F91" i="22"/>
  <c r="G91" i="22" s="1"/>
  <c r="H91" i="22" s="1"/>
  <c r="I91" i="22" s="1"/>
  <c r="J91" i="22" s="1"/>
  <c r="K91" i="22" s="1"/>
  <c r="L91" i="22" s="1"/>
  <c r="M91" i="22" s="1"/>
  <c r="N91" i="22" s="1"/>
  <c r="O91" i="22" s="1"/>
  <c r="P91" i="22" s="1"/>
  <c r="Q91" i="22" s="1"/>
  <c r="D147" i="3"/>
  <c r="R147" i="3"/>
  <c r="D148" i="3"/>
  <c r="F114" i="3"/>
  <c r="E116" i="3"/>
  <c r="E91" i="3"/>
  <c r="F90" i="3"/>
  <c r="E105" i="3"/>
  <c r="F104" i="3"/>
  <c r="G104" i="3" s="1"/>
  <c r="H104" i="3" s="1"/>
  <c r="I104" i="3" s="1"/>
  <c r="J104" i="3" s="1"/>
  <c r="K104" i="3" s="1"/>
  <c r="L104" i="3" s="1"/>
  <c r="M104" i="3" s="1"/>
  <c r="N104" i="3" s="1"/>
  <c r="O104" i="3" s="1"/>
  <c r="P104" i="3" s="1"/>
  <c r="Q104" i="3" s="1"/>
  <c r="F115" i="3"/>
  <c r="G89" i="3"/>
  <c r="G114" i="3"/>
  <c r="H88" i="3"/>
  <c r="E73" i="3"/>
  <c r="F47" i="3"/>
  <c r="F72" i="3"/>
  <c r="F60" i="3"/>
  <c r="E61" i="3"/>
  <c r="E62" i="3" s="1"/>
  <c r="F62" i="3" s="1"/>
  <c r="H59" i="3"/>
  <c r="N22" i="22"/>
  <c r="N27" i="22" s="1"/>
  <c r="M22" i="22"/>
  <c r="M27" i="22" s="1"/>
  <c r="L22" i="22"/>
  <c r="L27" i="22" s="1"/>
  <c r="K22" i="22"/>
  <c r="K24" i="22" s="1"/>
  <c r="J22" i="22"/>
  <c r="J27" i="22" s="1"/>
  <c r="I22" i="22"/>
  <c r="I27" i="22" s="1"/>
  <c r="H22" i="22"/>
  <c r="H27" i="22" s="1"/>
  <c r="G22" i="22"/>
  <c r="G27" i="22" s="1"/>
  <c r="F22" i="22"/>
  <c r="F27" i="22" s="1"/>
  <c r="E22" i="22"/>
  <c r="E27" i="22" s="1"/>
  <c r="D50" i="22"/>
  <c r="D49" i="22"/>
  <c r="D48" i="22"/>
  <c r="D46" i="22"/>
  <c r="D45" i="22"/>
  <c r="D41" i="22"/>
  <c r="D51" i="22" s="1"/>
  <c r="D37" i="22"/>
  <c r="D47" i="22" s="1"/>
  <c r="F29" i="22"/>
  <c r="G29" i="22" s="1"/>
  <c r="H29" i="22" s="1"/>
  <c r="I29" i="22" s="1"/>
  <c r="J29" i="22" s="1"/>
  <c r="K29" i="22" s="1"/>
  <c r="L29" i="22" s="1"/>
  <c r="M29" i="22" s="1"/>
  <c r="N29" i="22" s="1"/>
  <c r="F28" i="22"/>
  <c r="G28" i="22" s="1"/>
  <c r="H28" i="22" s="1"/>
  <c r="I28" i="22" s="1"/>
  <c r="J28" i="22" s="1"/>
  <c r="K28" i="22" s="1"/>
  <c r="L28" i="22" s="1"/>
  <c r="M28" i="22" s="1"/>
  <c r="N28" i="22" s="1"/>
  <c r="F26" i="22"/>
  <c r="G26" i="22" s="1"/>
  <c r="H26" i="22" s="1"/>
  <c r="M155" i="25" l="1"/>
  <c r="G194" i="25"/>
  <c r="R172" i="25"/>
  <c r="Q183" i="25"/>
  <c r="E49" i="3"/>
  <c r="E78" i="22" s="1"/>
  <c r="E104" i="22" s="1"/>
  <c r="G144" i="22"/>
  <c r="F144" i="22"/>
  <c r="G72" i="3"/>
  <c r="H113" i="3"/>
  <c r="H46" i="3"/>
  <c r="H72" i="3" s="1"/>
  <c r="F48" i="3"/>
  <c r="F77" i="22" s="1"/>
  <c r="F103" i="22" s="1"/>
  <c r="G47" i="3"/>
  <c r="F76" i="22"/>
  <c r="F102" i="22" s="1"/>
  <c r="H75" i="22"/>
  <c r="G101" i="22"/>
  <c r="E120" i="22"/>
  <c r="E146" i="22" s="1"/>
  <c r="F119" i="22"/>
  <c r="G119" i="22" s="1"/>
  <c r="G145" i="22" s="1"/>
  <c r="H142" i="22"/>
  <c r="I116" i="22"/>
  <c r="F92" i="22"/>
  <c r="G92" i="22" s="1"/>
  <c r="H92" i="22" s="1"/>
  <c r="I92" i="22" s="1"/>
  <c r="J92" i="22" s="1"/>
  <c r="K92" i="22" s="1"/>
  <c r="L92" i="22" s="1"/>
  <c r="M92" i="22" s="1"/>
  <c r="N92" i="22" s="1"/>
  <c r="O92" i="22" s="1"/>
  <c r="P92" i="22" s="1"/>
  <c r="Q92" i="22" s="1"/>
  <c r="E93" i="22"/>
  <c r="I143" i="22"/>
  <c r="J117" i="22"/>
  <c r="E134" i="22"/>
  <c r="F133" i="22"/>
  <c r="G133" i="22" s="1"/>
  <c r="H133" i="22" s="1"/>
  <c r="I133" i="22" s="1"/>
  <c r="J133" i="22" s="1"/>
  <c r="K133" i="22" s="1"/>
  <c r="L133" i="22" s="1"/>
  <c r="M133" i="22" s="1"/>
  <c r="N133" i="22" s="1"/>
  <c r="O133" i="22" s="1"/>
  <c r="P133" i="22" s="1"/>
  <c r="Q133" i="22" s="1"/>
  <c r="H144" i="22"/>
  <c r="I118" i="22"/>
  <c r="N24" i="22"/>
  <c r="F73" i="3"/>
  <c r="E117" i="3"/>
  <c r="E92" i="3"/>
  <c r="F91" i="3"/>
  <c r="G115" i="3"/>
  <c r="H89" i="3"/>
  <c r="I113" i="3"/>
  <c r="J87" i="3"/>
  <c r="E106" i="3"/>
  <c r="F105" i="3"/>
  <c r="G105" i="3" s="1"/>
  <c r="H105" i="3" s="1"/>
  <c r="I105" i="3" s="1"/>
  <c r="J105" i="3" s="1"/>
  <c r="K105" i="3" s="1"/>
  <c r="L105" i="3" s="1"/>
  <c r="M105" i="3" s="1"/>
  <c r="N105" i="3" s="1"/>
  <c r="O105" i="3" s="1"/>
  <c r="P105" i="3" s="1"/>
  <c r="Q105" i="3" s="1"/>
  <c r="H114" i="3"/>
  <c r="I88" i="3"/>
  <c r="K147" i="3"/>
  <c r="F116" i="3"/>
  <c r="G90" i="3"/>
  <c r="E74" i="3"/>
  <c r="F61" i="3"/>
  <c r="G60" i="3"/>
  <c r="E63" i="3"/>
  <c r="I59" i="3"/>
  <c r="G62" i="3"/>
  <c r="F24" i="22"/>
  <c r="G24" i="22"/>
  <c r="J24" i="22"/>
  <c r="J26" i="22" s="1"/>
  <c r="K26" i="22" s="1"/>
  <c r="L26" i="22" s="1"/>
  <c r="M26" i="22" s="1"/>
  <c r="N26" i="22" s="1"/>
  <c r="K27" i="22"/>
  <c r="H24" i="22"/>
  <c r="L24" i="22"/>
  <c r="E24" i="22"/>
  <c r="I24" i="22"/>
  <c r="M24" i="22"/>
  <c r="D42" i="22"/>
  <c r="D52" i="22" s="1"/>
  <c r="I26" i="22"/>
  <c r="F49" i="3" l="1"/>
  <c r="F75" i="3" s="1"/>
  <c r="G73" i="3"/>
  <c r="N155" i="25"/>
  <c r="H194" i="25"/>
  <c r="S172" i="25"/>
  <c r="R183" i="25"/>
  <c r="E75" i="3"/>
  <c r="E50" i="3"/>
  <c r="E79" i="22" s="1"/>
  <c r="E105" i="22" s="1"/>
  <c r="F74" i="3"/>
  <c r="G48" i="3"/>
  <c r="G77" i="22" s="1"/>
  <c r="H119" i="22"/>
  <c r="I119" i="22" s="1"/>
  <c r="F145" i="22"/>
  <c r="I46" i="3"/>
  <c r="I72" i="3" s="1"/>
  <c r="H47" i="3"/>
  <c r="I47" i="3" s="1"/>
  <c r="J47" i="3" s="1"/>
  <c r="K47" i="3" s="1"/>
  <c r="L47" i="3" s="1"/>
  <c r="M47" i="3" s="1"/>
  <c r="N47" i="3" s="1"/>
  <c r="O47" i="3" s="1"/>
  <c r="G76" i="22"/>
  <c r="F78" i="22"/>
  <c r="F104" i="22" s="1"/>
  <c r="H101" i="22"/>
  <c r="I75" i="22"/>
  <c r="E121" i="22"/>
  <c r="E147" i="22" s="1"/>
  <c r="F120" i="22"/>
  <c r="G120" i="22" s="1"/>
  <c r="H120" i="22" s="1"/>
  <c r="Q35" i="39"/>
  <c r="I142" i="22"/>
  <c r="J116" i="22"/>
  <c r="E135" i="22"/>
  <c r="F134" i="22"/>
  <c r="G134" i="22" s="1"/>
  <c r="H134" i="22" s="1"/>
  <c r="I134" i="22" s="1"/>
  <c r="J134" i="22" s="1"/>
  <c r="K134" i="22" s="1"/>
  <c r="L134" i="22" s="1"/>
  <c r="M134" i="22" s="1"/>
  <c r="N134" i="22" s="1"/>
  <c r="O134" i="22" s="1"/>
  <c r="P134" i="22" s="1"/>
  <c r="Q134" i="22" s="1"/>
  <c r="I144" i="22"/>
  <c r="J118" i="22"/>
  <c r="J143" i="22"/>
  <c r="K117" i="22"/>
  <c r="E94" i="22"/>
  <c r="F93" i="22"/>
  <c r="G93" i="22" s="1"/>
  <c r="H93" i="22" s="1"/>
  <c r="I93" i="22" s="1"/>
  <c r="J93" i="22" s="1"/>
  <c r="K93" i="22" s="1"/>
  <c r="L93" i="22" s="1"/>
  <c r="M93" i="22" s="1"/>
  <c r="N93" i="22" s="1"/>
  <c r="O93" i="22" s="1"/>
  <c r="P93" i="22" s="1"/>
  <c r="Q93" i="22" s="1"/>
  <c r="G61" i="3"/>
  <c r="E107" i="3"/>
  <c r="F106" i="3"/>
  <c r="G106" i="3" s="1"/>
  <c r="H106" i="3" s="1"/>
  <c r="I106" i="3" s="1"/>
  <c r="J106" i="3" s="1"/>
  <c r="K106" i="3" s="1"/>
  <c r="L106" i="3" s="1"/>
  <c r="M106" i="3" s="1"/>
  <c r="N106" i="3" s="1"/>
  <c r="O106" i="3" s="1"/>
  <c r="P106" i="3" s="1"/>
  <c r="Q106" i="3" s="1"/>
  <c r="F117" i="3"/>
  <c r="G91" i="3"/>
  <c r="E118" i="3"/>
  <c r="E93" i="3"/>
  <c r="F92" i="3"/>
  <c r="J113" i="3"/>
  <c r="K87" i="3"/>
  <c r="L147" i="3"/>
  <c r="G116" i="3"/>
  <c r="H90" i="3"/>
  <c r="I114" i="3"/>
  <c r="J88" i="3"/>
  <c r="H115" i="3"/>
  <c r="I89" i="3"/>
  <c r="H60" i="3"/>
  <c r="F63" i="3"/>
  <c r="G63" i="3" s="1"/>
  <c r="E64" i="3"/>
  <c r="H62" i="3"/>
  <c r="J59" i="3"/>
  <c r="K59" i="3" s="1"/>
  <c r="L59" i="3" s="1"/>
  <c r="M59" i="3" s="1"/>
  <c r="N59" i="3" s="1"/>
  <c r="O59" i="3" s="1"/>
  <c r="P59" i="3" s="1"/>
  <c r="Q59" i="3" s="1"/>
  <c r="G49" i="3" l="1"/>
  <c r="G75" i="3" s="1"/>
  <c r="J46" i="3"/>
  <c r="F50" i="3"/>
  <c r="F79" i="22" s="1"/>
  <c r="F105" i="22" s="1"/>
  <c r="E76" i="3"/>
  <c r="S183" i="25"/>
  <c r="T172" i="25"/>
  <c r="E51" i="3"/>
  <c r="E80" i="22" s="1"/>
  <c r="E106" i="22" s="1"/>
  <c r="I194" i="25"/>
  <c r="O155" i="25"/>
  <c r="H48" i="3"/>
  <c r="I48" i="3" s="1"/>
  <c r="J48" i="3" s="1"/>
  <c r="K48" i="3" s="1"/>
  <c r="L48" i="3" s="1"/>
  <c r="M48" i="3" s="1"/>
  <c r="N48" i="3" s="1"/>
  <c r="O48" i="3" s="1"/>
  <c r="P48" i="3" s="1"/>
  <c r="Q48" i="3" s="1"/>
  <c r="G74" i="3"/>
  <c r="H145" i="22"/>
  <c r="F146" i="22"/>
  <c r="H61" i="3"/>
  <c r="H73" i="3"/>
  <c r="G103" i="22"/>
  <c r="H77" i="22"/>
  <c r="I101" i="22"/>
  <c r="J75" i="22"/>
  <c r="I60" i="3"/>
  <c r="I73" i="3" s="1"/>
  <c r="H76" i="22"/>
  <c r="G102" i="22"/>
  <c r="G146" i="22"/>
  <c r="E122" i="22"/>
  <c r="F121" i="22"/>
  <c r="G121" i="22" s="1"/>
  <c r="H121" i="22" s="1"/>
  <c r="R35" i="39"/>
  <c r="J142" i="22"/>
  <c r="K116" i="22"/>
  <c r="E95" i="22"/>
  <c r="F94" i="22"/>
  <c r="G94" i="22" s="1"/>
  <c r="H94" i="22" s="1"/>
  <c r="I94" i="22" s="1"/>
  <c r="J94" i="22" s="1"/>
  <c r="K94" i="22" s="1"/>
  <c r="L94" i="22" s="1"/>
  <c r="M94" i="22" s="1"/>
  <c r="N94" i="22" s="1"/>
  <c r="O94" i="22" s="1"/>
  <c r="P94" i="22" s="1"/>
  <c r="Q94" i="22" s="1"/>
  <c r="J144" i="22"/>
  <c r="K118" i="22"/>
  <c r="I145" i="22"/>
  <c r="J119" i="22"/>
  <c r="K143" i="22"/>
  <c r="L117" i="22"/>
  <c r="H146" i="22"/>
  <c r="I120" i="22"/>
  <c r="E136" i="22"/>
  <c r="F135" i="22"/>
  <c r="G135" i="22" s="1"/>
  <c r="H135" i="22" s="1"/>
  <c r="I135" i="22" s="1"/>
  <c r="J135" i="22" s="1"/>
  <c r="K135" i="22" s="1"/>
  <c r="L135" i="22" s="1"/>
  <c r="M135" i="22" s="1"/>
  <c r="N135" i="22" s="1"/>
  <c r="O135" i="22" s="1"/>
  <c r="P135" i="22" s="1"/>
  <c r="Q135" i="22" s="1"/>
  <c r="F118" i="3"/>
  <c r="G92" i="3"/>
  <c r="H116" i="3"/>
  <c r="I90" i="3"/>
  <c r="E108" i="3"/>
  <c r="F107" i="3"/>
  <c r="G107" i="3" s="1"/>
  <c r="H107" i="3" s="1"/>
  <c r="I107" i="3" s="1"/>
  <c r="J107" i="3" s="1"/>
  <c r="K107" i="3" s="1"/>
  <c r="L107" i="3" s="1"/>
  <c r="M107" i="3" s="1"/>
  <c r="N107" i="3" s="1"/>
  <c r="O107" i="3" s="1"/>
  <c r="P107" i="3" s="1"/>
  <c r="Q107" i="3" s="1"/>
  <c r="M147" i="3"/>
  <c r="N147" i="3" s="1"/>
  <c r="E119" i="3"/>
  <c r="E94" i="3"/>
  <c r="F93" i="3"/>
  <c r="K113" i="3"/>
  <c r="L87" i="3"/>
  <c r="I115" i="3"/>
  <c r="J89" i="3"/>
  <c r="J114" i="3"/>
  <c r="K88" i="3"/>
  <c r="G117" i="3"/>
  <c r="H91" i="3"/>
  <c r="K46" i="3"/>
  <c r="J72" i="3"/>
  <c r="F64" i="3"/>
  <c r="G64" i="3" s="1"/>
  <c r="E65" i="3"/>
  <c r="G50" i="3"/>
  <c r="G79" i="22" s="1"/>
  <c r="F76" i="3"/>
  <c r="P47" i="3"/>
  <c r="H63" i="3"/>
  <c r="I62" i="3"/>
  <c r="K7" i="7"/>
  <c r="J7" i="7"/>
  <c r="I7" i="7"/>
  <c r="H7" i="7"/>
  <c r="G7" i="7"/>
  <c r="F7" i="7"/>
  <c r="E7" i="7"/>
  <c r="E77" i="3" l="1"/>
  <c r="G78" i="22"/>
  <c r="G104" i="22" s="1"/>
  <c r="H49" i="3"/>
  <c r="I49" i="3" s="1"/>
  <c r="J49" i="3" s="1"/>
  <c r="K49" i="3" s="1"/>
  <c r="L49" i="3" s="1"/>
  <c r="M49" i="3" s="1"/>
  <c r="N49" i="3" s="1"/>
  <c r="O49" i="3" s="1"/>
  <c r="P49" i="3" s="1"/>
  <c r="Q49" i="3" s="1"/>
  <c r="F51" i="3"/>
  <c r="F80" i="22" s="1"/>
  <c r="F106" i="22" s="1"/>
  <c r="O147" i="3"/>
  <c r="J194" i="25"/>
  <c r="P155" i="25"/>
  <c r="E52" i="3"/>
  <c r="E81" i="22" s="1"/>
  <c r="E107" i="22" s="1"/>
  <c r="H74" i="3"/>
  <c r="U172" i="25"/>
  <c r="U183" i="25" s="1"/>
  <c r="T183" i="25"/>
  <c r="I75" i="3"/>
  <c r="G147" i="22"/>
  <c r="J60" i="3"/>
  <c r="J73" i="3" s="1"/>
  <c r="I61" i="3"/>
  <c r="I74" i="3" s="1"/>
  <c r="H75" i="3"/>
  <c r="G105" i="22"/>
  <c r="H79" i="22"/>
  <c r="H102" i="22"/>
  <c r="I76" i="22"/>
  <c r="J101" i="22"/>
  <c r="K75" i="22"/>
  <c r="H103" i="22"/>
  <c r="I77" i="22"/>
  <c r="H78" i="22"/>
  <c r="E123" i="22"/>
  <c r="F122" i="22"/>
  <c r="G122" i="22" s="1"/>
  <c r="H122" i="22" s="1"/>
  <c r="F147" i="22"/>
  <c r="E148" i="22"/>
  <c r="S35" i="39"/>
  <c r="K142" i="22"/>
  <c r="L116" i="22"/>
  <c r="E96" i="22"/>
  <c r="F95" i="22"/>
  <c r="G95" i="22" s="1"/>
  <c r="H95" i="22" s="1"/>
  <c r="I95" i="22" s="1"/>
  <c r="J95" i="22" s="1"/>
  <c r="K95" i="22" s="1"/>
  <c r="L95" i="22" s="1"/>
  <c r="M95" i="22" s="1"/>
  <c r="N95" i="22" s="1"/>
  <c r="O95" i="22" s="1"/>
  <c r="P95" i="22" s="1"/>
  <c r="Q95" i="22" s="1"/>
  <c r="K144" i="22"/>
  <c r="L118" i="22"/>
  <c r="E137" i="22"/>
  <c r="F136" i="22"/>
  <c r="G136" i="22" s="1"/>
  <c r="H136" i="22" s="1"/>
  <c r="I136" i="22" s="1"/>
  <c r="J136" i="22" s="1"/>
  <c r="K136" i="22" s="1"/>
  <c r="L136" i="22" s="1"/>
  <c r="M136" i="22" s="1"/>
  <c r="N136" i="22" s="1"/>
  <c r="O136" i="22" s="1"/>
  <c r="P136" i="22" s="1"/>
  <c r="Q136" i="22" s="1"/>
  <c r="I146" i="22"/>
  <c r="J120" i="22"/>
  <c r="L143" i="22"/>
  <c r="M117" i="22"/>
  <c r="H147" i="22"/>
  <c r="I121" i="22"/>
  <c r="J145" i="22"/>
  <c r="K119" i="22"/>
  <c r="K114" i="3"/>
  <c r="L88" i="3"/>
  <c r="F119" i="3"/>
  <c r="G93" i="3"/>
  <c r="E109" i="3"/>
  <c r="F109" i="3" s="1"/>
  <c r="G109" i="3" s="1"/>
  <c r="H109" i="3" s="1"/>
  <c r="I109" i="3" s="1"/>
  <c r="J109" i="3" s="1"/>
  <c r="K109" i="3" s="1"/>
  <c r="L109" i="3" s="1"/>
  <c r="M109" i="3" s="1"/>
  <c r="N109" i="3" s="1"/>
  <c r="O109" i="3" s="1"/>
  <c r="P109" i="3" s="1"/>
  <c r="Q109" i="3" s="1"/>
  <c r="F108" i="3"/>
  <c r="G108" i="3" s="1"/>
  <c r="H108" i="3" s="1"/>
  <c r="I108" i="3" s="1"/>
  <c r="J108" i="3" s="1"/>
  <c r="K108" i="3" s="1"/>
  <c r="L108" i="3" s="1"/>
  <c r="M108" i="3" s="1"/>
  <c r="N108" i="3" s="1"/>
  <c r="O108" i="3" s="1"/>
  <c r="P108" i="3" s="1"/>
  <c r="Q108" i="3" s="1"/>
  <c r="G118" i="3"/>
  <c r="H92" i="3"/>
  <c r="I116" i="3"/>
  <c r="J90" i="3"/>
  <c r="L113" i="3"/>
  <c r="M87" i="3"/>
  <c r="E120" i="3"/>
  <c r="F94" i="3"/>
  <c r="E95" i="3"/>
  <c r="H117" i="3"/>
  <c r="I91" i="3"/>
  <c r="J115" i="3"/>
  <c r="K89" i="3"/>
  <c r="H50" i="3"/>
  <c r="I50" i="3" s="1"/>
  <c r="J50" i="3" s="1"/>
  <c r="K50" i="3" s="1"/>
  <c r="L50" i="3" s="1"/>
  <c r="M50" i="3" s="1"/>
  <c r="N50" i="3" s="1"/>
  <c r="O50" i="3" s="1"/>
  <c r="P50" i="3" s="1"/>
  <c r="G76" i="3"/>
  <c r="F77" i="3"/>
  <c r="E66" i="3"/>
  <c r="F66" i="3" s="1"/>
  <c r="G66" i="3" s="1"/>
  <c r="F65" i="3"/>
  <c r="G65" i="3" s="1"/>
  <c r="K72" i="3"/>
  <c r="L46" i="3"/>
  <c r="Q47" i="3"/>
  <c r="J62" i="3"/>
  <c r="H64" i="3"/>
  <c r="I63" i="3"/>
  <c r="J241" i="1"/>
  <c r="I241" i="1"/>
  <c r="H241" i="1"/>
  <c r="G241" i="1"/>
  <c r="F241" i="1"/>
  <c r="E241" i="1"/>
  <c r="D241" i="1"/>
  <c r="C241" i="1"/>
  <c r="J234" i="1"/>
  <c r="I234" i="1"/>
  <c r="H234" i="1"/>
  <c r="G234" i="1"/>
  <c r="F234" i="1"/>
  <c r="E234" i="1"/>
  <c r="D234" i="1"/>
  <c r="C234" i="1"/>
  <c r="J236" i="1"/>
  <c r="I236" i="1"/>
  <c r="H236" i="1"/>
  <c r="G236" i="1"/>
  <c r="F236" i="1"/>
  <c r="E236" i="1"/>
  <c r="D236" i="1"/>
  <c r="J235" i="1"/>
  <c r="I235" i="1"/>
  <c r="H235" i="1"/>
  <c r="G235" i="1"/>
  <c r="F235" i="1"/>
  <c r="E235" i="1"/>
  <c r="D235" i="1"/>
  <c r="C235" i="1"/>
  <c r="E78" i="3" l="1"/>
  <c r="E53" i="3"/>
  <c r="E82" i="22" s="1"/>
  <c r="E108" i="22" s="1"/>
  <c r="J61" i="3"/>
  <c r="J74" i="3" s="1"/>
  <c r="G51" i="3"/>
  <c r="G80" i="22" s="1"/>
  <c r="P147" i="3"/>
  <c r="Q147" i="3" s="1"/>
  <c r="F52" i="3"/>
  <c r="F81" i="22" s="1"/>
  <c r="F107" i="22" s="1"/>
  <c r="G46" i="50"/>
  <c r="G31" i="41"/>
  <c r="G46" i="8"/>
  <c r="H45" i="50"/>
  <c r="H30" i="41"/>
  <c r="H45" i="8"/>
  <c r="I46" i="50"/>
  <c r="I31" i="41"/>
  <c r="I46" i="8"/>
  <c r="J46" i="50"/>
  <c r="J55" i="50" s="1"/>
  <c r="J57" i="50" s="1"/>
  <c r="J91" i="50" s="1"/>
  <c r="J31" i="41"/>
  <c r="J46" i="8"/>
  <c r="C45" i="50"/>
  <c r="C30" i="41"/>
  <c r="C45" i="8"/>
  <c r="D46" i="50"/>
  <c r="D31" i="41"/>
  <c r="D46" i="8"/>
  <c r="J45" i="50"/>
  <c r="J30" i="41"/>
  <c r="J45" i="8"/>
  <c r="E31" i="37" s="1"/>
  <c r="D45" i="50"/>
  <c r="D30" i="41"/>
  <c r="D45" i="8"/>
  <c r="E46" i="50"/>
  <c r="E31" i="41"/>
  <c r="E46" i="8"/>
  <c r="I45" i="50"/>
  <c r="I30" i="41"/>
  <c r="I45" i="8"/>
  <c r="E45" i="50"/>
  <c r="E30" i="41"/>
  <c r="E45" i="8"/>
  <c r="F46" i="50"/>
  <c r="F31" i="41"/>
  <c r="F46" i="8"/>
  <c r="K194" i="25"/>
  <c r="Q155" i="25"/>
  <c r="F45" i="50"/>
  <c r="F30" i="41"/>
  <c r="F45" i="8"/>
  <c r="G45" i="50"/>
  <c r="G30" i="41"/>
  <c r="G45" i="8"/>
  <c r="P45" i="8" s="1"/>
  <c r="H46" i="50"/>
  <c r="H31" i="41"/>
  <c r="H46" i="8"/>
  <c r="K60" i="3"/>
  <c r="L60" i="3" s="1"/>
  <c r="E67" i="3"/>
  <c r="F67" i="3" s="1"/>
  <c r="G67" i="3" s="1"/>
  <c r="I103" i="22"/>
  <c r="J77" i="22"/>
  <c r="I102" i="22"/>
  <c r="J76" i="22"/>
  <c r="G106" i="22"/>
  <c r="H80" i="22"/>
  <c r="H104" i="22"/>
  <c r="I78" i="22"/>
  <c r="K101" i="22"/>
  <c r="L75" i="22"/>
  <c r="H105" i="22"/>
  <c r="I79" i="22"/>
  <c r="G148" i="22"/>
  <c r="F148" i="22"/>
  <c r="E124" i="22"/>
  <c r="F123" i="22"/>
  <c r="G123" i="22" s="1"/>
  <c r="G149" i="22" s="1"/>
  <c r="E149" i="22"/>
  <c r="E237" i="1"/>
  <c r="E238" i="1" s="1"/>
  <c r="E239" i="1" s="1"/>
  <c r="F237" i="1"/>
  <c r="F238" i="1" s="1"/>
  <c r="F239" i="1" s="1"/>
  <c r="G237" i="1"/>
  <c r="H237" i="1"/>
  <c r="I237" i="1"/>
  <c r="J237" i="1"/>
  <c r="D237" i="1"/>
  <c r="J238" i="1"/>
  <c r="J239" i="1" s="1"/>
  <c r="L142" i="22"/>
  <c r="M116" i="22"/>
  <c r="M143" i="22"/>
  <c r="N117" i="22"/>
  <c r="J146" i="22"/>
  <c r="K120" i="22"/>
  <c r="L144" i="22"/>
  <c r="M118" i="22"/>
  <c r="H148" i="22"/>
  <c r="I122" i="22"/>
  <c r="I147" i="22"/>
  <c r="J121" i="22"/>
  <c r="E97" i="22"/>
  <c r="F97" i="22" s="1"/>
  <c r="G97" i="22" s="1"/>
  <c r="H97" i="22" s="1"/>
  <c r="I97" i="22" s="1"/>
  <c r="J97" i="22" s="1"/>
  <c r="K97" i="22" s="1"/>
  <c r="L97" i="22" s="1"/>
  <c r="M97" i="22" s="1"/>
  <c r="N97" i="22" s="1"/>
  <c r="O97" i="22" s="1"/>
  <c r="P97" i="22" s="1"/>
  <c r="Q97" i="22" s="1"/>
  <c r="F96" i="22"/>
  <c r="G96" i="22" s="1"/>
  <c r="H96" i="22" s="1"/>
  <c r="I96" i="22" s="1"/>
  <c r="J96" i="22" s="1"/>
  <c r="K96" i="22" s="1"/>
  <c r="L96" i="22" s="1"/>
  <c r="M96" i="22" s="1"/>
  <c r="N96" i="22" s="1"/>
  <c r="O96" i="22" s="1"/>
  <c r="P96" i="22" s="1"/>
  <c r="Q96" i="22" s="1"/>
  <c r="K145" i="22"/>
  <c r="L119" i="22"/>
  <c r="E138" i="22"/>
  <c r="F138" i="22" s="1"/>
  <c r="G138" i="22" s="1"/>
  <c r="H138" i="22" s="1"/>
  <c r="I138" i="22" s="1"/>
  <c r="J138" i="22" s="1"/>
  <c r="K138" i="22" s="1"/>
  <c r="L138" i="22" s="1"/>
  <c r="M138" i="22" s="1"/>
  <c r="N138" i="22" s="1"/>
  <c r="O138" i="22" s="1"/>
  <c r="P138" i="22" s="1"/>
  <c r="Q138" i="22" s="1"/>
  <c r="F137" i="22"/>
  <c r="G137" i="22" s="1"/>
  <c r="H137" i="22" s="1"/>
  <c r="I137" i="22" s="1"/>
  <c r="J137" i="22" s="1"/>
  <c r="K137" i="22" s="1"/>
  <c r="L137" i="22" s="1"/>
  <c r="M137" i="22" s="1"/>
  <c r="N137" i="22" s="1"/>
  <c r="O137" i="22" s="1"/>
  <c r="P137" i="22" s="1"/>
  <c r="Q137" i="22" s="1"/>
  <c r="K115" i="3"/>
  <c r="L89" i="3"/>
  <c r="E121" i="3"/>
  <c r="F95" i="3"/>
  <c r="E96" i="3"/>
  <c r="L114" i="3"/>
  <c r="M88" i="3"/>
  <c r="F120" i="3"/>
  <c r="G94" i="3"/>
  <c r="J116" i="3"/>
  <c r="K90" i="3"/>
  <c r="I117" i="3"/>
  <c r="J91" i="3"/>
  <c r="M113" i="3"/>
  <c r="N87" i="3"/>
  <c r="H118" i="3"/>
  <c r="I92" i="3"/>
  <c r="G119" i="3"/>
  <c r="H93" i="3"/>
  <c r="G52" i="3"/>
  <c r="G81" i="22" s="1"/>
  <c r="F78" i="3"/>
  <c r="E54" i="3"/>
  <c r="F53" i="3"/>
  <c r="F82" i="22" s="1"/>
  <c r="F108" i="22" s="1"/>
  <c r="E79" i="3"/>
  <c r="H76" i="3"/>
  <c r="L72" i="3"/>
  <c r="M46" i="3"/>
  <c r="I76" i="3"/>
  <c r="H51" i="3"/>
  <c r="I51" i="3" s="1"/>
  <c r="J51" i="3" s="1"/>
  <c r="K51" i="3" s="1"/>
  <c r="L51" i="3" s="1"/>
  <c r="M51" i="3" s="1"/>
  <c r="N51" i="3" s="1"/>
  <c r="O51" i="3" s="1"/>
  <c r="P51" i="3" s="1"/>
  <c r="Q51" i="3" s="1"/>
  <c r="G77" i="3"/>
  <c r="J75" i="3"/>
  <c r="K62" i="3"/>
  <c r="Q50" i="3"/>
  <c r="J63" i="3"/>
  <c r="I64" i="3"/>
  <c r="H65" i="3"/>
  <c r="C236" i="1"/>
  <c r="P45" i="50" l="1"/>
  <c r="H94" i="50" s="1"/>
  <c r="H97" i="50" s="1"/>
  <c r="K61" i="3"/>
  <c r="K74" i="3" s="1"/>
  <c r="E68" i="3"/>
  <c r="M45" i="50"/>
  <c r="E94" i="50" s="1"/>
  <c r="E97" i="50" s="1"/>
  <c r="R45" i="50"/>
  <c r="J94" i="50" s="1"/>
  <c r="J97" i="50" s="1"/>
  <c r="J99" i="50" s="1"/>
  <c r="O45" i="50"/>
  <c r="G94" i="50" s="1"/>
  <c r="G97" i="50" s="1"/>
  <c r="L45" i="8"/>
  <c r="O45" i="8"/>
  <c r="I47" i="50"/>
  <c r="I32" i="41"/>
  <c r="I47" i="8"/>
  <c r="I82" i="8" s="1"/>
  <c r="C32" i="37"/>
  <c r="I12" i="44"/>
  <c r="Q46" i="8"/>
  <c r="N45" i="50"/>
  <c r="F94" i="50" s="1"/>
  <c r="F97" i="50" s="1"/>
  <c r="D55" i="50"/>
  <c r="D57" i="50" s="1"/>
  <c r="D91" i="50" s="1"/>
  <c r="M46" i="50"/>
  <c r="C46" i="50"/>
  <c r="L46" i="50" s="1"/>
  <c r="C31" i="41"/>
  <c r="C46" i="8"/>
  <c r="H47" i="50"/>
  <c r="H32" i="41"/>
  <c r="H47" i="8"/>
  <c r="H82" i="8" s="1"/>
  <c r="R155" i="25"/>
  <c r="M194" i="25" s="1"/>
  <c r="L194" i="25"/>
  <c r="D31" i="37"/>
  <c r="R45" i="8"/>
  <c r="I55" i="50"/>
  <c r="I57" i="50" s="1"/>
  <c r="I91" i="50" s="1"/>
  <c r="R46" i="50"/>
  <c r="G47" i="50"/>
  <c r="G32" i="41"/>
  <c r="G47" i="8"/>
  <c r="G82" i="8" s="1"/>
  <c r="H55" i="50"/>
  <c r="H57" i="50" s="1"/>
  <c r="H91" i="50" s="1"/>
  <c r="H99" i="50" s="1"/>
  <c r="Q46" i="50"/>
  <c r="C31" i="37"/>
  <c r="Q45" i="8"/>
  <c r="F47" i="50"/>
  <c r="F32" i="41"/>
  <c r="F47" i="8"/>
  <c r="G12" i="44"/>
  <c r="O46" i="8"/>
  <c r="L45" i="50"/>
  <c r="D94" i="50" s="1"/>
  <c r="D97" i="50" s="1"/>
  <c r="E47" i="50"/>
  <c r="E32" i="41"/>
  <c r="E47" i="8"/>
  <c r="E82" i="8" s="1"/>
  <c r="F12" i="44"/>
  <c r="N46" i="8"/>
  <c r="E32" i="37"/>
  <c r="K12" i="44"/>
  <c r="Q45" i="50"/>
  <c r="I94" i="50" s="1"/>
  <c r="I97" i="50" s="1"/>
  <c r="I238" i="1"/>
  <c r="I239" i="1" s="1"/>
  <c r="F55" i="50"/>
  <c r="F57" i="50" s="1"/>
  <c r="F91" i="50" s="1"/>
  <c r="O46" i="50"/>
  <c r="F31" i="37"/>
  <c r="G31" i="37" s="1"/>
  <c r="H31" i="37" s="1"/>
  <c r="I31" i="37" s="1"/>
  <c r="J31" i="37" s="1"/>
  <c r="K31" i="37" s="1"/>
  <c r="L31" i="37" s="1"/>
  <c r="M31" i="37" s="1"/>
  <c r="N31" i="37" s="1"/>
  <c r="O31" i="37" s="1"/>
  <c r="H12" i="44"/>
  <c r="P46" i="8"/>
  <c r="D47" i="50"/>
  <c r="D32" i="41"/>
  <c r="D47" i="8"/>
  <c r="D82" i="8" s="1"/>
  <c r="N45" i="8"/>
  <c r="E55" i="50"/>
  <c r="E57" i="50" s="1"/>
  <c r="E91" i="50" s="1"/>
  <c r="N46" i="50"/>
  <c r="E12" i="44"/>
  <c r="M46" i="8"/>
  <c r="J47" i="50"/>
  <c r="J32" i="41"/>
  <c r="J47" i="8"/>
  <c r="J82" i="8" s="1"/>
  <c r="M45" i="8"/>
  <c r="D32" i="37"/>
  <c r="J12" i="44"/>
  <c r="R46" i="8"/>
  <c r="G55" i="50"/>
  <c r="G57" i="50" s="1"/>
  <c r="G91" i="50" s="1"/>
  <c r="P46" i="50"/>
  <c r="K73" i="3"/>
  <c r="I105" i="22"/>
  <c r="J79" i="22"/>
  <c r="I104" i="22"/>
  <c r="J78" i="22"/>
  <c r="K76" i="22"/>
  <c r="J102" i="22"/>
  <c r="E80" i="3"/>
  <c r="E83" i="22"/>
  <c r="E109" i="22" s="1"/>
  <c r="G107" i="22"/>
  <c r="H81" i="22"/>
  <c r="L101" i="22"/>
  <c r="M75" i="22"/>
  <c r="H106" i="22"/>
  <c r="I80" i="22"/>
  <c r="J103" i="22"/>
  <c r="K77" i="22"/>
  <c r="H123" i="22"/>
  <c r="H149" i="22" s="1"/>
  <c r="F149" i="22"/>
  <c r="F124" i="22"/>
  <c r="G124" i="22" s="1"/>
  <c r="G150" i="22" s="1"/>
  <c r="E125" i="22"/>
  <c r="F125" i="22" s="1"/>
  <c r="G125" i="22" s="1"/>
  <c r="E150" i="22"/>
  <c r="D238" i="1"/>
  <c r="D239" i="1" s="1"/>
  <c r="H238" i="1"/>
  <c r="H239" i="1" s="1"/>
  <c r="G238" i="1"/>
  <c r="G239" i="1" s="1"/>
  <c r="C237" i="1"/>
  <c r="M142" i="22"/>
  <c r="N116" i="22"/>
  <c r="L145" i="22"/>
  <c r="M119" i="22"/>
  <c r="I148" i="22"/>
  <c r="J122" i="22"/>
  <c r="M144" i="22"/>
  <c r="N118" i="22"/>
  <c r="N143" i="22"/>
  <c r="O117" i="22"/>
  <c r="J147" i="22"/>
  <c r="K121" i="22"/>
  <c r="K146" i="22"/>
  <c r="L120" i="22"/>
  <c r="H119" i="3"/>
  <c r="I93" i="3"/>
  <c r="G120" i="3"/>
  <c r="H94" i="3"/>
  <c r="L115" i="3"/>
  <c r="M89" i="3"/>
  <c r="N113" i="3"/>
  <c r="O87" i="3"/>
  <c r="E122" i="3"/>
  <c r="E123" i="3" s="1"/>
  <c r="F96" i="3"/>
  <c r="I118" i="3"/>
  <c r="J92" i="3"/>
  <c r="J117" i="3"/>
  <c r="K91" i="3"/>
  <c r="K116" i="3"/>
  <c r="L90" i="3"/>
  <c r="M114" i="3"/>
  <c r="N88" i="3"/>
  <c r="F121" i="3"/>
  <c r="G95" i="3"/>
  <c r="E55" i="3"/>
  <c r="F54" i="3"/>
  <c r="F83" i="22" s="1"/>
  <c r="F109" i="22" s="1"/>
  <c r="H77" i="3"/>
  <c r="I77" i="3"/>
  <c r="M72" i="3"/>
  <c r="N46" i="3"/>
  <c r="G53" i="3"/>
  <c r="G82" i="22" s="1"/>
  <c r="F79" i="3"/>
  <c r="H52" i="3"/>
  <c r="I52" i="3" s="1"/>
  <c r="J52" i="3" s="1"/>
  <c r="K52" i="3" s="1"/>
  <c r="L52" i="3" s="1"/>
  <c r="M52" i="3" s="1"/>
  <c r="N52" i="3" s="1"/>
  <c r="O52" i="3" s="1"/>
  <c r="P52" i="3" s="1"/>
  <c r="Q52" i="3" s="1"/>
  <c r="G78" i="3"/>
  <c r="M60" i="3"/>
  <c r="L73" i="3"/>
  <c r="L62" i="3"/>
  <c r="K75" i="3"/>
  <c r="J76" i="3"/>
  <c r="K63" i="3"/>
  <c r="J64" i="3"/>
  <c r="I65" i="3"/>
  <c r="H66" i="3"/>
  <c r="F68" i="3"/>
  <c r="I99" i="50" l="1"/>
  <c r="D99" i="50"/>
  <c r="L61" i="3"/>
  <c r="E99" i="50"/>
  <c r="O47" i="50"/>
  <c r="N47" i="50"/>
  <c r="G99" i="50"/>
  <c r="Q47" i="50"/>
  <c r="F99" i="50"/>
  <c r="L46" i="8"/>
  <c r="D12" i="44"/>
  <c r="C47" i="50"/>
  <c r="L47" i="50" s="1"/>
  <c r="C32" i="41"/>
  <c r="C47" i="8"/>
  <c r="L47" i="8" s="1"/>
  <c r="E33" i="37"/>
  <c r="E29" i="37" s="1"/>
  <c r="K47" i="7"/>
  <c r="D43" i="30"/>
  <c r="M47" i="8"/>
  <c r="G47" i="7"/>
  <c r="O47" i="8"/>
  <c r="F82" i="8"/>
  <c r="H47" i="7"/>
  <c r="P47" i="8"/>
  <c r="F47" i="7"/>
  <c r="N47" i="8"/>
  <c r="J47" i="7"/>
  <c r="R47" i="8"/>
  <c r="D33" i="37"/>
  <c r="D29" i="37" s="1"/>
  <c r="C238" i="1"/>
  <c r="C239" i="1" s="1"/>
  <c r="M47" i="50"/>
  <c r="P47" i="50"/>
  <c r="I47" i="7"/>
  <c r="Q47" i="8"/>
  <c r="C33" i="37"/>
  <c r="C29" i="37" s="1"/>
  <c r="R47" i="50"/>
  <c r="F151" i="22"/>
  <c r="F55" i="3"/>
  <c r="F81" i="3" s="1"/>
  <c r="E84" i="22"/>
  <c r="E110" i="22" s="1"/>
  <c r="E111" i="22" s="1"/>
  <c r="K103" i="22"/>
  <c r="L77" i="22"/>
  <c r="M101" i="22"/>
  <c r="N75" i="22"/>
  <c r="J104" i="22"/>
  <c r="K78" i="22"/>
  <c r="H82" i="22"/>
  <c r="G108" i="22"/>
  <c r="J80" i="22"/>
  <c r="I106" i="22"/>
  <c r="H107" i="22"/>
  <c r="I81" i="22"/>
  <c r="J105" i="22"/>
  <c r="K79" i="22"/>
  <c r="K102" i="22"/>
  <c r="L76" i="22"/>
  <c r="E151" i="22"/>
  <c r="E152" i="22" s="1"/>
  <c r="I123" i="22"/>
  <c r="I149" i="22" s="1"/>
  <c r="H124" i="22"/>
  <c r="H150" i="22" s="1"/>
  <c r="F150" i="22"/>
  <c r="O116" i="22"/>
  <c r="N142" i="22"/>
  <c r="N144" i="22"/>
  <c r="O118" i="22"/>
  <c r="M145" i="22"/>
  <c r="N119" i="22"/>
  <c r="I124" i="22"/>
  <c r="L146" i="22"/>
  <c r="M120" i="22"/>
  <c r="K147" i="22"/>
  <c r="L121" i="22"/>
  <c r="G151" i="22"/>
  <c r="G152" i="22" s="1"/>
  <c r="H125" i="22"/>
  <c r="O143" i="22"/>
  <c r="P117" i="22"/>
  <c r="J148" i="22"/>
  <c r="K122" i="22"/>
  <c r="E81" i="3"/>
  <c r="E82" i="3" s="1"/>
  <c r="L116" i="3"/>
  <c r="M90" i="3"/>
  <c r="J118" i="3"/>
  <c r="K92" i="3"/>
  <c r="F122" i="3"/>
  <c r="F123" i="3" s="1"/>
  <c r="G96" i="3"/>
  <c r="M115" i="3"/>
  <c r="N89" i="3"/>
  <c r="I119" i="3"/>
  <c r="J93" i="3"/>
  <c r="O113" i="3"/>
  <c r="P87" i="3"/>
  <c r="G121" i="3"/>
  <c r="H95" i="3"/>
  <c r="N114" i="3"/>
  <c r="O88" i="3"/>
  <c r="K117" i="3"/>
  <c r="L91" i="3"/>
  <c r="H120" i="3"/>
  <c r="I94" i="3"/>
  <c r="I78" i="3"/>
  <c r="G54" i="3"/>
  <c r="G83" i="22" s="1"/>
  <c r="F80" i="3"/>
  <c r="N72" i="3"/>
  <c r="O46" i="3"/>
  <c r="H78" i="3"/>
  <c r="H53" i="3"/>
  <c r="I53" i="3" s="1"/>
  <c r="J53" i="3" s="1"/>
  <c r="K53" i="3" s="1"/>
  <c r="L53" i="3" s="1"/>
  <c r="M53" i="3" s="1"/>
  <c r="N53" i="3" s="1"/>
  <c r="O53" i="3" s="1"/>
  <c r="P53" i="3" s="1"/>
  <c r="Q53" i="3" s="1"/>
  <c r="G79" i="3"/>
  <c r="N60" i="3"/>
  <c r="M73" i="3"/>
  <c r="L75" i="3"/>
  <c r="M62" i="3"/>
  <c r="J77" i="3"/>
  <c r="K64" i="3"/>
  <c r="M61" i="3"/>
  <c r="L74" i="3"/>
  <c r="L63" i="3"/>
  <c r="K76" i="3"/>
  <c r="J65" i="3"/>
  <c r="G68" i="3"/>
  <c r="H67" i="3"/>
  <c r="I66" i="3"/>
  <c r="C43" i="8"/>
  <c r="D43" i="8"/>
  <c r="E43" i="8"/>
  <c r="F43" i="8"/>
  <c r="G43" i="8"/>
  <c r="H43" i="8"/>
  <c r="I43" i="8"/>
  <c r="J43" i="8"/>
  <c r="F105" i="50" l="1"/>
  <c r="F107" i="50" s="1"/>
  <c r="F113" i="50" s="1"/>
  <c r="F114" i="50" s="1"/>
  <c r="G13" i="44"/>
  <c r="G14" i="44" s="1"/>
  <c r="C82" i="8"/>
  <c r="J13" i="44"/>
  <c r="J14" i="44" s="1"/>
  <c r="I105" i="50"/>
  <c r="I107" i="50" s="1"/>
  <c r="I113" i="50" s="1"/>
  <c r="I114" i="50" s="1"/>
  <c r="H105" i="50"/>
  <c r="H107" i="50" s="1"/>
  <c r="H113" i="50" s="1"/>
  <c r="H114" i="50" s="1"/>
  <c r="I13" i="44"/>
  <c r="I14" i="44" s="1"/>
  <c r="E105" i="50"/>
  <c r="E107" i="50" s="1"/>
  <c r="E113" i="50" s="1"/>
  <c r="E114" i="50" s="1"/>
  <c r="F13" i="44"/>
  <c r="F14" i="44" s="1"/>
  <c r="E47" i="7"/>
  <c r="D105" i="50" s="1"/>
  <c r="D107" i="50" s="1"/>
  <c r="D113" i="50" s="1"/>
  <c r="D114" i="50" s="1"/>
  <c r="J105" i="50"/>
  <c r="J107" i="50" s="1"/>
  <c r="J113" i="50" s="1"/>
  <c r="J114" i="50" s="1"/>
  <c r="K13" i="44"/>
  <c r="K14" i="44" s="1"/>
  <c r="G105" i="50"/>
  <c r="G107" i="50" s="1"/>
  <c r="G113" i="50" s="1"/>
  <c r="G114" i="50" s="1"/>
  <c r="H13" i="44"/>
  <c r="H14" i="44" s="1"/>
  <c r="Q43" i="8"/>
  <c r="M43" i="8"/>
  <c r="F152" i="22"/>
  <c r="H83" i="22"/>
  <c r="G109" i="22"/>
  <c r="K105" i="22"/>
  <c r="L79" i="22"/>
  <c r="L78" i="22"/>
  <c r="K104" i="22"/>
  <c r="M77" i="22"/>
  <c r="L103" i="22"/>
  <c r="K80" i="22"/>
  <c r="J106" i="22"/>
  <c r="F82" i="3"/>
  <c r="L102" i="22"/>
  <c r="M76" i="22"/>
  <c r="I107" i="22"/>
  <c r="J81" i="22"/>
  <c r="O75" i="22"/>
  <c r="N101" i="22"/>
  <c r="H108" i="22"/>
  <c r="I82" i="22"/>
  <c r="G55" i="3"/>
  <c r="G81" i="3" s="1"/>
  <c r="F84" i="22"/>
  <c r="F110" i="22" s="1"/>
  <c r="F111" i="22" s="1"/>
  <c r="J123" i="22"/>
  <c r="K123" i="22" s="1"/>
  <c r="N43" i="8"/>
  <c r="P43" i="8"/>
  <c r="L43" i="8"/>
  <c r="R43" i="8"/>
  <c r="O43" i="8"/>
  <c r="O142" i="22"/>
  <c r="P116" i="22"/>
  <c r="N145" i="22"/>
  <c r="O119" i="22"/>
  <c r="P143" i="22"/>
  <c r="Q117" i="22"/>
  <c r="Q143" i="22" s="1"/>
  <c r="H151" i="22"/>
  <c r="H152" i="22" s="1"/>
  <c r="I125" i="22"/>
  <c r="L147" i="22"/>
  <c r="M121" i="22"/>
  <c r="I150" i="22"/>
  <c r="J124" i="22"/>
  <c r="O144" i="22"/>
  <c r="P118" i="22"/>
  <c r="M146" i="22"/>
  <c r="N120" i="22"/>
  <c r="K148" i="22"/>
  <c r="L122" i="22"/>
  <c r="I79" i="3"/>
  <c r="O114" i="3"/>
  <c r="P88" i="3"/>
  <c r="P113" i="3"/>
  <c r="Q87" i="3"/>
  <c r="Q113" i="3" s="1"/>
  <c r="N115" i="3"/>
  <c r="O89" i="3"/>
  <c r="K118" i="3"/>
  <c r="L92" i="3"/>
  <c r="I120" i="3"/>
  <c r="J94" i="3"/>
  <c r="L117" i="3"/>
  <c r="M91" i="3"/>
  <c r="H121" i="3"/>
  <c r="I95" i="3"/>
  <c r="J119" i="3"/>
  <c r="K93" i="3"/>
  <c r="G122" i="3"/>
  <c r="G123" i="3" s="1"/>
  <c r="H96" i="3"/>
  <c r="M116" i="3"/>
  <c r="N90" i="3"/>
  <c r="O72" i="3"/>
  <c r="P46" i="3"/>
  <c r="H79" i="3"/>
  <c r="H54" i="3"/>
  <c r="I54" i="3" s="1"/>
  <c r="J54" i="3" s="1"/>
  <c r="K54" i="3" s="1"/>
  <c r="L54" i="3" s="1"/>
  <c r="M54" i="3" s="1"/>
  <c r="N54" i="3" s="1"/>
  <c r="O54" i="3" s="1"/>
  <c r="P54" i="3" s="1"/>
  <c r="Q54" i="3" s="1"/>
  <c r="G80" i="3"/>
  <c r="L64" i="3"/>
  <c r="K77" i="3"/>
  <c r="M63" i="3"/>
  <c r="L76" i="3"/>
  <c r="O60" i="3"/>
  <c r="N73" i="3"/>
  <c r="J78" i="3"/>
  <c r="K65" i="3"/>
  <c r="N62" i="3"/>
  <c r="M75" i="3"/>
  <c r="N61" i="3"/>
  <c r="M74" i="3"/>
  <c r="J66" i="3"/>
  <c r="H68" i="3"/>
  <c r="I67" i="3"/>
  <c r="D11" i="28"/>
  <c r="D21" i="28" s="1"/>
  <c r="E21" i="28" s="1"/>
  <c r="F21" i="28" s="1"/>
  <c r="G21" i="28" s="1"/>
  <c r="H21" i="28" s="1"/>
  <c r="I21" i="28" s="1"/>
  <c r="J21" i="28" s="1"/>
  <c r="K21" i="28" s="1"/>
  <c r="L21" i="28" s="1"/>
  <c r="M21" i="28" s="1"/>
  <c r="N21" i="28" s="1"/>
  <c r="I6" i="28"/>
  <c r="H10" i="28"/>
  <c r="H9" i="28"/>
  <c r="H8" i="28"/>
  <c r="H7" i="28"/>
  <c r="H6" i="28"/>
  <c r="I80" i="3" l="1"/>
  <c r="D20" i="44"/>
  <c r="J149" i="22"/>
  <c r="D19" i="44"/>
  <c r="I18" i="44" s="1"/>
  <c r="D18" i="44"/>
  <c r="D17" i="44"/>
  <c r="D21" i="44"/>
  <c r="R18" i="44" s="1"/>
  <c r="R26" i="44" s="1"/>
  <c r="H11" i="28"/>
  <c r="J6" i="28"/>
  <c r="G82" i="3"/>
  <c r="H55" i="3"/>
  <c r="I55" i="3" s="1"/>
  <c r="J55" i="3" s="1"/>
  <c r="K55" i="3" s="1"/>
  <c r="L55" i="3" s="1"/>
  <c r="M55" i="3" s="1"/>
  <c r="N55" i="3" s="1"/>
  <c r="O55" i="3" s="1"/>
  <c r="P55" i="3" s="1"/>
  <c r="Q55" i="3" s="1"/>
  <c r="G84" i="22"/>
  <c r="K106" i="22"/>
  <c r="L80" i="22"/>
  <c r="L104" i="22"/>
  <c r="M78" i="22"/>
  <c r="J82" i="22"/>
  <c r="I108" i="22"/>
  <c r="K81" i="22"/>
  <c r="J107" i="22"/>
  <c r="L105" i="22"/>
  <c r="M79" i="22"/>
  <c r="N77" i="22"/>
  <c r="M103" i="22"/>
  <c r="M102" i="22"/>
  <c r="N76" i="22"/>
  <c r="P75" i="22"/>
  <c r="O101" i="22"/>
  <c r="H109" i="22"/>
  <c r="I83" i="22"/>
  <c r="P142" i="22"/>
  <c r="Q116" i="22"/>
  <c r="Q142" i="22" s="1"/>
  <c r="M147" i="22"/>
  <c r="N121" i="22"/>
  <c r="J150" i="22"/>
  <c r="K124" i="22"/>
  <c r="I151" i="22"/>
  <c r="I152" i="22" s="1"/>
  <c r="J125" i="22"/>
  <c r="K149" i="22"/>
  <c r="L123" i="22"/>
  <c r="L148" i="22"/>
  <c r="M122" i="22"/>
  <c r="N146" i="22"/>
  <c r="O120" i="22"/>
  <c r="P144" i="22"/>
  <c r="Q118" i="22"/>
  <c r="Q144" i="22" s="1"/>
  <c r="O145" i="22"/>
  <c r="P119" i="22"/>
  <c r="J120" i="3"/>
  <c r="K94" i="3"/>
  <c r="L118" i="3"/>
  <c r="M92" i="3"/>
  <c r="N116" i="3"/>
  <c r="O90" i="3"/>
  <c r="K119" i="3"/>
  <c r="L93" i="3"/>
  <c r="M117" i="3"/>
  <c r="N91" i="3"/>
  <c r="O115" i="3"/>
  <c r="P89" i="3"/>
  <c r="P114" i="3"/>
  <c r="Q88" i="3"/>
  <c r="Q114" i="3" s="1"/>
  <c r="H122" i="3"/>
  <c r="H123" i="3" s="1"/>
  <c r="I96" i="3"/>
  <c r="I121" i="3"/>
  <c r="J95" i="3"/>
  <c r="H80" i="3"/>
  <c r="Q46" i="3"/>
  <c r="Q72" i="3" s="1"/>
  <c r="P72" i="3"/>
  <c r="O61" i="3"/>
  <c r="N74" i="3"/>
  <c r="N63" i="3"/>
  <c r="M76" i="3"/>
  <c r="J79" i="3"/>
  <c r="K66" i="3"/>
  <c r="O62" i="3"/>
  <c r="N75" i="3"/>
  <c r="P60" i="3"/>
  <c r="O73" i="3"/>
  <c r="L65" i="3"/>
  <c r="K78" i="3"/>
  <c r="M64" i="3"/>
  <c r="L77" i="3"/>
  <c r="J67" i="3"/>
  <c r="I68" i="3"/>
  <c r="I7" i="28"/>
  <c r="J7" i="28" s="1"/>
  <c r="I26" i="44" l="1"/>
  <c r="I27" i="44" s="1"/>
  <c r="J18" i="44"/>
  <c r="I19" i="44"/>
  <c r="F33" i="37" s="1"/>
  <c r="I81" i="3"/>
  <c r="I82" i="3" s="1"/>
  <c r="H81" i="3"/>
  <c r="H82" i="3" s="1"/>
  <c r="I109" i="22"/>
  <c r="J83" i="22"/>
  <c r="N102" i="22"/>
  <c r="O76" i="22"/>
  <c r="M105" i="22"/>
  <c r="N79" i="22"/>
  <c r="K82" i="22"/>
  <c r="J108" i="22"/>
  <c r="G110" i="22"/>
  <c r="G111" i="22" s="1"/>
  <c r="H84" i="22"/>
  <c r="M104" i="22"/>
  <c r="N78" i="22"/>
  <c r="Q75" i="22"/>
  <c r="Q101" i="22" s="1"/>
  <c r="P101" i="22"/>
  <c r="N103" i="22"/>
  <c r="O77" i="22"/>
  <c r="K107" i="22"/>
  <c r="L81" i="22"/>
  <c r="L106" i="22"/>
  <c r="M80" i="22"/>
  <c r="P145" i="22"/>
  <c r="Q119" i="22"/>
  <c r="Q145" i="22" s="1"/>
  <c r="M148" i="22"/>
  <c r="N122" i="22"/>
  <c r="J151" i="22"/>
  <c r="J152" i="22" s="1"/>
  <c r="K125" i="22"/>
  <c r="N147" i="22"/>
  <c r="O121" i="22"/>
  <c r="O146" i="22"/>
  <c r="P120" i="22"/>
  <c r="L149" i="22"/>
  <c r="M123" i="22"/>
  <c r="K150" i="22"/>
  <c r="L124" i="22"/>
  <c r="N117" i="3"/>
  <c r="O91" i="3"/>
  <c r="O116" i="3"/>
  <c r="P90" i="3"/>
  <c r="I122" i="3"/>
  <c r="I123" i="3" s="1"/>
  <c r="J96" i="3"/>
  <c r="K120" i="3"/>
  <c r="L94" i="3"/>
  <c r="P115" i="3"/>
  <c r="Q89" i="3"/>
  <c r="Q115" i="3" s="1"/>
  <c r="L119" i="3"/>
  <c r="M93" i="3"/>
  <c r="J121" i="3"/>
  <c r="K95" i="3"/>
  <c r="M118" i="3"/>
  <c r="N92" i="3"/>
  <c r="P61" i="3"/>
  <c r="O74" i="3"/>
  <c r="J80" i="3"/>
  <c r="K67" i="3"/>
  <c r="M65" i="3"/>
  <c r="L78" i="3"/>
  <c r="P62" i="3"/>
  <c r="O75" i="3"/>
  <c r="L66" i="3"/>
  <c r="K79" i="3"/>
  <c r="O63" i="3"/>
  <c r="N76" i="3"/>
  <c r="N64" i="3"/>
  <c r="M77" i="3"/>
  <c r="Q60" i="3"/>
  <c r="Q73" i="3" s="1"/>
  <c r="P73" i="3"/>
  <c r="J68" i="3"/>
  <c r="I8" i="28"/>
  <c r="J8" i="28" s="1"/>
  <c r="J26" i="44" l="1"/>
  <c r="K18" i="44"/>
  <c r="M106" i="22"/>
  <c r="N80" i="22"/>
  <c r="O103" i="22"/>
  <c r="P77" i="22"/>
  <c r="O78" i="22"/>
  <c r="N104" i="22"/>
  <c r="O102" i="22"/>
  <c r="P76" i="22"/>
  <c r="L82" i="22"/>
  <c r="K108" i="22"/>
  <c r="L107" i="22"/>
  <c r="M81" i="22"/>
  <c r="H110" i="22"/>
  <c r="H111" i="22" s="1"/>
  <c r="E159" i="22" s="1"/>
  <c r="E166" i="22" s="1"/>
  <c r="I84" i="22"/>
  <c r="N105" i="22"/>
  <c r="O79" i="22"/>
  <c r="K83" i="22"/>
  <c r="J109" i="22"/>
  <c r="K151" i="22"/>
  <c r="K152" i="22" s="1"/>
  <c r="L125" i="22"/>
  <c r="L150" i="22"/>
  <c r="M124" i="22"/>
  <c r="N148" i="22"/>
  <c r="O122" i="22"/>
  <c r="M149" i="22"/>
  <c r="N123" i="22"/>
  <c r="P146" i="22"/>
  <c r="Q120" i="22"/>
  <c r="Q146" i="22" s="1"/>
  <c r="O147" i="22"/>
  <c r="P121" i="22"/>
  <c r="O117" i="3"/>
  <c r="P91" i="3"/>
  <c r="K121" i="3"/>
  <c r="L95" i="3"/>
  <c r="J122" i="3"/>
  <c r="J123" i="3" s="1"/>
  <c r="K96" i="3"/>
  <c r="N118" i="3"/>
  <c r="O92" i="3"/>
  <c r="M119" i="3"/>
  <c r="N93" i="3"/>
  <c r="L120" i="3"/>
  <c r="M94" i="3"/>
  <c r="P116" i="3"/>
  <c r="Q90" i="3"/>
  <c r="Q116" i="3" s="1"/>
  <c r="L67" i="3"/>
  <c r="K80" i="3"/>
  <c r="J81" i="3"/>
  <c r="J82" i="3" s="1"/>
  <c r="K68" i="3"/>
  <c r="O64" i="3"/>
  <c r="N77" i="3"/>
  <c r="M66" i="3"/>
  <c r="L79" i="3"/>
  <c r="Q62" i="3"/>
  <c r="Q75" i="3" s="1"/>
  <c r="P75" i="3"/>
  <c r="P63" i="3"/>
  <c r="O76" i="3"/>
  <c r="N65" i="3"/>
  <c r="M78" i="3"/>
  <c r="Q61" i="3"/>
  <c r="Q74" i="3" s="1"/>
  <c r="P74" i="3"/>
  <c r="I9" i="28"/>
  <c r="J9" i="28" s="1"/>
  <c r="L18" i="44" l="1"/>
  <c r="K26" i="44"/>
  <c r="O105" i="22"/>
  <c r="P79" i="22"/>
  <c r="M107" i="22"/>
  <c r="N81" i="22"/>
  <c r="Q77" i="22"/>
  <c r="Q103" i="22" s="1"/>
  <c r="P103" i="22"/>
  <c r="I110" i="22"/>
  <c r="I111" i="22" s="1"/>
  <c r="F159" i="22" s="1"/>
  <c r="F166" i="22" s="1"/>
  <c r="J84" i="22"/>
  <c r="N106" i="22"/>
  <c r="O80" i="22"/>
  <c r="P102" i="22"/>
  <c r="Q76" i="22"/>
  <c r="Q102" i="22" s="1"/>
  <c r="K109" i="22"/>
  <c r="L83" i="22"/>
  <c r="M82" i="22"/>
  <c r="L108" i="22"/>
  <c r="O104" i="22"/>
  <c r="P78" i="22"/>
  <c r="O148" i="22"/>
  <c r="P122" i="22"/>
  <c r="M150" i="22"/>
  <c r="N124" i="22"/>
  <c r="L151" i="22"/>
  <c r="L152" i="22" s="1"/>
  <c r="M125" i="22"/>
  <c r="P147" i="22"/>
  <c r="Q121" i="22"/>
  <c r="Q147" i="22" s="1"/>
  <c r="N149" i="22"/>
  <c r="O123" i="22"/>
  <c r="P117" i="3"/>
  <c r="Q91" i="3"/>
  <c r="Q117" i="3" s="1"/>
  <c r="K122" i="3"/>
  <c r="K123" i="3" s="1"/>
  <c r="L96" i="3"/>
  <c r="N119" i="3"/>
  <c r="O93" i="3"/>
  <c r="M120" i="3"/>
  <c r="N94" i="3"/>
  <c r="O118" i="3"/>
  <c r="P92" i="3"/>
  <c r="L121" i="3"/>
  <c r="M95" i="3"/>
  <c r="Q63" i="3"/>
  <c r="Q76" i="3" s="1"/>
  <c r="P76" i="3"/>
  <c r="P64" i="3"/>
  <c r="O77" i="3"/>
  <c r="M67" i="3"/>
  <c r="L80" i="3"/>
  <c r="L68" i="3"/>
  <c r="K81" i="3"/>
  <c r="K82" i="3" s="1"/>
  <c r="O65" i="3"/>
  <c r="N78" i="3"/>
  <c r="N66" i="3"/>
  <c r="M79" i="3"/>
  <c r="I10" i="28"/>
  <c r="J10" i="28" s="1"/>
  <c r="J11" i="28" s="1"/>
  <c r="L26" i="44" l="1"/>
  <c r="M18" i="44"/>
  <c r="K84" i="22"/>
  <c r="J110" i="22"/>
  <c r="J111" i="22" s="1"/>
  <c r="G159" i="22" s="1"/>
  <c r="G166" i="22" s="1"/>
  <c r="N107" i="22"/>
  <c r="O81" i="22"/>
  <c r="M108" i="22"/>
  <c r="N82" i="22"/>
  <c r="Q78" i="22"/>
  <c r="Q104" i="22" s="1"/>
  <c r="P104" i="22"/>
  <c r="M83" i="22"/>
  <c r="L109" i="22"/>
  <c r="P80" i="22"/>
  <c r="O106" i="22"/>
  <c r="Q79" i="22"/>
  <c r="Q105" i="22" s="1"/>
  <c r="P105" i="22"/>
  <c r="M151" i="22"/>
  <c r="M152" i="22" s="1"/>
  <c r="N125" i="22"/>
  <c r="N150" i="22"/>
  <c r="O124" i="22"/>
  <c r="P148" i="22"/>
  <c r="Q122" i="22"/>
  <c r="Q148" i="22" s="1"/>
  <c r="O149" i="22"/>
  <c r="P123" i="22"/>
  <c r="O119" i="3"/>
  <c r="P93" i="3"/>
  <c r="M121" i="3"/>
  <c r="N95" i="3"/>
  <c r="N120" i="3"/>
  <c r="O94" i="3"/>
  <c r="P118" i="3"/>
  <c r="Q92" i="3"/>
  <c r="Q118" i="3" s="1"/>
  <c r="L122" i="3"/>
  <c r="L123" i="3" s="1"/>
  <c r="M96" i="3"/>
  <c r="P65" i="3"/>
  <c r="O78" i="3"/>
  <c r="N67" i="3"/>
  <c r="M80" i="3"/>
  <c r="O66" i="3"/>
  <c r="N79" i="3"/>
  <c r="M68" i="3"/>
  <c r="L81" i="3"/>
  <c r="L82" i="3" s="1"/>
  <c r="Q64" i="3"/>
  <c r="Q77" i="3" s="1"/>
  <c r="P77" i="3"/>
  <c r="M26" i="44" l="1"/>
  <c r="N18" i="44"/>
  <c r="P81" i="22"/>
  <c r="O107" i="22"/>
  <c r="Q80" i="22"/>
  <c r="Q106" i="22" s="1"/>
  <c r="P106" i="22"/>
  <c r="N108" i="22"/>
  <c r="O82" i="22"/>
  <c r="M109" i="22"/>
  <c r="N83" i="22"/>
  <c r="K110" i="22"/>
  <c r="K111" i="22" s="1"/>
  <c r="H159" i="22" s="1"/>
  <c r="H166" i="22" s="1"/>
  <c r="L84" i="22"/>
  <c r="O150" i="22"/>
  <c r="P124" i="22"/>
  <c r="P149" i="22"/>
  <c r="Q123" i="22"/>
  <c r="Q149" i="22" s="1"/>
  <c r="N151" i="22"/>
  <c r="N152" i="22" s="1"/>
  <c r="O125" i="22"/>
  <c r="N121" i="3"/>
  <c r="O95" i="3"/>
  <c r="M122" i="3"/>
  <c r="M123" i="3" s="1"/>
  <c r="N96" i="3"/>
  <c r="O120" i="3"/>
  <c r="P94" i="3"/>
  <c r="P119" i="3"/>
  <c r="Q93" i="3"/>
  <c r="Q119" i="3" s="1"/>
  <c r="P66" i="3"/>
  <c r="O79" i="3"/>
  <c r="Q65" i="3"/>
  <c r="Q78" i="3" s="1"/>
  <c r="P78" i="3"/>
  <c r="N68" i="3"/>
  <c r="M81" i="3"/>
  <c r="M82" i="3" s="1"/>
  <c r="O67" i="3"/>
  <c r="N80" i="3"/>
  <c r="N26" i="44" l="1"/>
  <c r="O18" i="44"/>
  <c r="N109" i="22"/>
  <c r="O83" i="22"/>
  <c r="M84" i="22"/>
  <c r="L110" i="22"/>
  <c r="L111" i="22" s="1"/>
  <c r="I159" i="22" s="1"/>
  <c r="I166" i="22" s="1"/>
  <c r="O108" i="22"/>
  <c r="P82" i="22"/>
  <c r="P107" i="22"/>
  <c r="Q81" i="22"/>
  <c r="Q107" i="22" s="1"/>
  <c r="O151" i="22"/>
  <c r="O152" i="22" s="1"/>
  <c r="P125" i="22"/>
  <c r="P150" i="22"/>
  <c r="Q124" i="22"/>
  <c r="Q150" i="22" s="1"/>
  <c r="N122" i="3"/>
  <c r="N123" i="3" s="1"/>
  <c r="O96" i="3"/>
  <c r="P120" i="3"/>
  <c r="Q94" i="3"/>
  <c r="Q120" i="3" s="1"/>
  <c r="O121" i="3"/>
  <c r="P95" i="3"/>
  <c r="O68" i="3"/>
  <c r="N81" i="3"/>
  <c r="N82" i="3" s="1"/>
  <c r="Q66" i="3"/>
  <c r="Q79" i="3" s="1"/>
  <c r="P79" i="3"/>
  <c r="P67" i="3"/>
  <c r="O80" i="3"/>
  <c r="K52" i="27"/>
  <c r="K65" i="27" s="1"/>
  <c r="J52" i="27"/>
  <c r="J65" i="27" s="1"/>
  <c r="I52" i="27"/>
  <c r="I65" i="27" s="1"/>
  <c r="H52" i="27"/>
  <c r="H65" i="27" s="1"/>
  <c r="G52" i="27"/>
  <c r="G65" i="27" s="1"/>
  <c r="F52" i="27"/>
  <c r="F65" i="27" s="1"/>
  <c r="E52" i="27"/>
  <c r="E65" i="27" s="1"/>
  <c r="D52" i="27"/>
  <c r="D65" i="27" s="1"/>
  <c r="K9" i="27"/>
  <c r="J40" i="39" s="1"/>
  <c r="J9" i="27"/>
  <c r="I40" i="39" s="1"/>
  <c r="I9" i="27"/>
  <c r="H40" i="39" s="1"/>
  <c r="H9" i="27"/>
  <c r="G40" i="39" s="1"/>
  <c r="G41" i="39" s="1"/>
  <c r="G9" i="27"/>
  <c r="F40" i="39" s="1"/>
  <c r="F41" i="39" s="1"/>
  <c r="F9" i="27"/>
  <c r="E40" i="39" s="1"/>
  <c r="E41" i="39" s="1"/>
  <c r="E9" i="27"/>
  <c r="D40" i="39" s="1"/>
  <c r="D9" i="27"/>
  <c r="O26" i="44" l="1"/>
  <c r="P18" i="44"/>
  <c r="P108" i="22"/>
  <c r="Q82" i="22"/>
  <c r="Q108" i="22" s="1"/>
  <c r="O109" i="22"/>
  <c r="P83" i="22"/>
  <c r="N84" i="22"/>
  <c r="M110" i="22"/>
  <c r="M111" i="22" s="1"/>
  <c r="J159" i="22" s="1"/>
  <c r="J166" i="22" s="1"/>
  <c r="P151" i="22"/>
  <c r="P152" i="22" s="1"/>
  <c r="Q125" i="22"/>
  <c r="Q151" i="22" s="1"/>
  <c r="Q152" i="22" s="1"/>
  <c r="P121" i="3"/>
  <c r="Q95" i="3"/>
  <c r="Q121" i="3" s="1"/>
  <c r="O122" i="3"/>
  <c r="O123" i="3" s="1"/>
  <c r="P96" i="3"/>
  <c r="Q67" i="3"/>
  <c r="Q80" i="3" s="1"/>
  <c r="P80" i="3"/>
  <c r="P68" i="3"/>
  <c r="O81" i="3"/>
  <c r="O82" i="3" s="1"/>
  <c r="G10" i="25"/>
  <c r="E55" i="25"/>
  <c r="F55" i="25" s="1"/>
  <c r="G55" i="25" s="1"/>
  <c r="H55" i="25" s="1"/>
  <c r="I55" i="25" s="1"/>
  <c r="J55" i="25" s="1"/>
  <c r="K55" i="25" s="1"/>
  <c r="U57" i="25"/>
  <c r="T57" i="25"/>
  <c r="S57" i="25"/>
  <c r="R57" i="25"/>
  <c r="Q57" i="25"/>
  <c r="P57" i="25"/>
  <c r="O57" i="25"/>
  <c r="N57" i="25"/>
  <c r="M57" i="25"/>
  <c r="L57" i="25"/>
  <c r="E89" i="25"/>
  <c r="F89" i="25" s="1"/>
  <c r="G89" i="25" s="1"/>
  <c r="H89" i="25" s="1"/>
  <c r="I89" i="25" s="1"/>
  <c r="J89" i="25" s="1"/>
  <c r="K89" i="25" s="1"/>
  <c r="U91" i="25"/>
  <c r="T91" i="25"/>
  <c r="S91" i="25"/>
  <c r="R91" i="25"/>
  <c r="Q91" i="25"/>
  <c r="P91" i="25"/>
  <c r="O91" i="25"/>
  <c r="N91" i="25"/>
  <c r="M91" i="25"/>
  <c r="L91" i="25"/>
  <c r="E78" i="25"/>
  <c r="F78" i="25" s="1"/>
  <c r="G78" i="25" s="1"/>
  <c r="H78" i="25" s="1"/>
  <c r="I78" i="25" s="1"/>
  <c r="J78" i="25" s="1"/>
  <c r="K78" i="25" s="1"/>
  <c r="U80" i="25"/>
  <c r="T80" i="25"/>
  <c r="S80" i="25"/>
  <c r="R80" i="25"/>
  <c r="Q80" i="25"/>
  <c r="P80" i="25"/>
  <c r="O80" i="25"/>
  <c r="N80" i="25"/>
  <c r="M80" i="25"/>
  <c r="L80" i="25"/>
  <c r="U69" i="25"/>
  <c r="T69" i="25"/>
  <c r="S69" i="25"/>
  <c r="R69" i="25"/>
  <c r="Q69" i="25"/>
  <c r="P69" i="25"/>
  <c r="O69" i="25"/>
  <c r="N69" i="25"/>
  <c r="M69" i="25"/>
  <c r="L69" i="25"/>
  <c r="E44" i="25"/>
  <c r="F44" i="25" s="1"/>
  <c r="G44" i="25" s="1"/>
  <c r="H44" i="25" s="1"/>
  <c r="I44" i="25" s="1"/>
  <c r="J44" i="25" s="1"/>
  <c r="K44" i="25" s="1"/>
  <c r="U46" i="25"/>
  <c r="T46" i="25"/>
  <c r="S46" i="25"/>
  <c r="R46" i="25"/>
  <c r="Q46" i="25"/>
  <c r="P46" i="25"/>
  <c r="O46" i="25"/>
  <c r="N46" i="25"/>
  <c r="M46" i="25"/>
  <c r="L46" i="25"/>
  <c r="E33" i="25"/>
  <c r="F33" i="25" s="1"/>
  <c r="G33" i="25" s="1"/>
  <c r="H33" i="25" s="1"/>
  <c r="I33" i="25" s="1"/>
  <c r="J33" i="25" s="1"/>
  <c r="K33" i="25" s="1"/>
  <c r="U35" i="25"/>
  <c r="T35" i="25"/>
  <c r="S35" i="25"/>
  <c r="R35" i="25"/>
  <c r="Q35" i="25"/>
  <c r="P35" i="25"/>
  <c r="O35" i="25"/>
  <c r="N35" i="25"/>
  <c r="M35" i="25"/>
  <c r="L35" i="25"/>
  <c r="E22" i="25"/>
  <c r="F22" i="25" s="1"/>
  <c r="G22" i="25" s="1"/>
  <c r="H22" i="25" s="1"/>
  <c r="I22" i="25" s="1"/>
  <c r="J22" i="25" s="1"/>
  <c r="K22" i="25" s="1"/>
  <c r="C16" i="8"/>
  <c r="P26" i="44" l="1"/>
  <c r="Q18" i="44"/>
  <c r="Q26" i="44" s="1"/>
  <c r="L16" i="8"/>
  <c r="D11" i="43"/>
  <c r="D20" i="43" s="1"/>
  <c r="P109" i="22"/>
  <c r="Q83" i="22"/>
  <c r="Q109" i="22" s="1"/>
  <c r="N110" i="22"/>
  <c r="N111" i="22" s="1"/>
  <c r="K159" i="22" s="1"/>
  <c r="K166" i="22" s="1"/>
  <c r="O84" i="22"/>
  <c r="G11" i="25"/>
  <c r="P122" i="3"/>
  <c r="P123" i="3" s="1"/>
  <c r="Q96" i="3"/>
  <c r="Q122" i="3" s="1"/>
  <c r="Q123" i="3" s="1"/>
  <c r="Q68" i="3"/>
  <c r="Q81" i="3" s="1"/>
  <c r="Q82" i="3" s="1"/>
  <c r="P81" i="3"/>
  <c r="P82" i="3" s="1"/>
  <c r="D41" i="43" l="1"/>
  <c r="R38" i="43" s="1"/>
  <c r="N38" i="43" s="1"/>
  <c r="O38" i="43" s="1"/>
  <c r="P38" i="43" s="1"/>
  <c r="Q38" i="43" s="1"/>
  <c r="D37" i="43"/>
  <c r="D39" i="43"/>
  <c r="D40" i="43"/>
  <c r="D38" i="43"/>
  <c r="P84" i="22"/>
  <c r="O110" i="22"/>
  <c r="O111" i="22" s="1"/>
  <c r="L159" i="22" s="1"/>
  <c r="L166" i="22" s="1"/>
  <c r="G12" i="25"/>
  <c r="G14" i="25"/>
  <c r="P110" i="22" l="1"/>
  <c r="P111" i="22" s="1"/>
  <c r="M159" i="22" s="1"/>
  <c r="M166" i="22" s="1"/>
  <c r="Q84" i="22"/>
  <c r="Q110" i="22" s="1"/>
  <c r="Q111" i="22" s="1"/>
  <c r="N159" i="22" s="1"/>
  <c r="N166" i="22" s="1"/>
  <c r="G15" i="25"/>
  <c r="G16" i="25" l="1"/>
  <c r="D14" i="9"/>
  <c r="O17" i="23" l="1"/>
  <c r="O19" i="23" s="1"/>
  <c r="N17" i="23"/>
  <c r="N19" i="23" s="1"/>
  <c r="M17" i="23"/>
  <c r="M19" i="23" s="1"/>
  <c r="L17" i="23"/>
  <c r="L19" i="23" s="1"/>
  <c r="K17" i="23"/>
  <c r="K19" i="23" s="1"/>
  <c r="J17" i="23"/>
  <c r="J19" i="23" s="1"/>
  <c r="I17" i="23"/>
  <c r="I19" i="23" s="1"/>
  <c r="H17" i="23"/>
  <c r="H19" i="23" s="1"/>
  <c r="G17" i="23"/>
  <c r="G19" i="23" s="1"/>
  <c r="F19" i="23"/>
  <c r="F22" i="23"/>
  <c r="F16" i="23" s="1"/>
  <c r="G16" i="23" s="1"/>
  <c r="H16" i="23" s="1"/>
  <c r="I16" i="23" s="1"/>
  <c r="J16" i="23" s="1"/>
  <c r="K16" i="23" s="1"/>
  <c r="L16" i="23" s="1"/>
  <c r="M16" i="23" s="1"/>
  <c r="N16" i="23" s="1"/>
  <c r="O16" i="23" s="1"/>
  <c r="D32" i="23"/>
  <c r="D28" i="23"/>
  <c r="D24" i="23"/>
  <c r="G22" i="23" l="1"/>
  <c r="H22" i="23" s="1"/>
  <c r="I22" i="23" s="1"/>
  <c r="J22" i="23" s="1"/>
  <c r="K22" i="23" s="1"/>
  <c r="L22" i="23" s="1"/>
  <c r="M22" i="23" s="1"/>
  <c r="N22" i="23" s="1"/>
  <c r="O22" i="23" s="1"/>
  <c r="M19" i="9"/>
  <c r="N19" i="9" s="1"/>
  <c r="O19" i="9" s="1"/>
  <c r="P19" i="9" s="1"/>
  <c r="Q19" i="9" s="1"/>
  <c r="R19" i="9" s="1"/>
  <c r="S19" i="9" s="1"/>
  <c r="T19" i="9" s="1"/>
  <c r="U19" i="9" s="1"/>
  <c r="V19" i="9" s="1"/>
  <c r="N16" i="30" s="1"/>
  <c r="M17" i="9"/>
  <c r="N17" i="9" s="1"/>
  <c r="O17" i="9" s="1"/>
  <c r="P17" i="9" s="1"/>
  <c r="Q17" i="9" s="1"/>
  <c r="R17" i="9" s="1"/>
  <c r="S17" i="9" s="1"/>
  <c r="T17" i="9" s="1"/>
  <c r="U17" i="9" s="1"/>
  <c r="V17" i="9" s="1"/>
  <c r="E4" i="9"/>
  <c r="N36" i="30" l="1"/>
  <c r="N56" i="30" s="1"/>
  <c r="M25" i="2"/>
  <c r="F4" i="9"/>
  <c r="E14" i="9"/>
  <c r="D153" i="23"/>
  <c r="D184" i="22"/>
  <c r="G4" i="9" l="1"/>
  <c r="F14" i="9"/>
  <c r="H4" i="9" l="1"/>
  <c r="G14" i="9"/>
  <c r="I4" i="9" l="1"/>
  <c r="H14" i="9"/>
  <c r="J4" i="9" l="1"/>
  <c r="I14" i="9"/>
  <c r="F21" i="31"/>
  <c r="E21" i="31"/>
  <c r="D21" i="31"/>
  <c r="C21" i="31"/>
  <c r="K4" i="9" l="1"/>
  <c r="J14" i="9"/>
  <c r="G3" i="31"/>
  <c r="L3" i="31"/>
  <c r="M3" i="31" s="1"/>
  <c r="K6" i="31"/>
  <c r="B2" i="32" s="1"/>
  <c r="W10" i="31"/>
  <c r="C7" i="32"/>
  <c r="V7" i="31"/>
  <c r="T7" i="31"/>
  <c r="V10" i="31"/>
  <c r="X9" i="31"/>
  <c r="R8" i="31"/>
  <c r="Q10" i="31"/>
  <c r="U10" i="31"/>
  <c r="P9" i="31"/>
  <c r="P7" i="31"/>
  <c r="T8" i="31"/>
  <c r="Q9" i="31"/>
  <c r="R10" i="31"/>
  <c r="S8" i="31"/>
  <c r="P8" i="31"/>
  <c r="Y7" i="31"/>
  <c r="R9" i="31"/>
  <c r="U9" i="31"/>
  <c r="Q7" i="31"/>
  <c r="Q8" i="31"/>
  <c r="S7" i="31"/>
  <c r="P10" i="31"/>
  <c r="U7" i="31"/>
  <c r="Y8" i="31"/>
  <c r="Y9" i="31"/>
  <c r="S10" i="31"/>
  <c r="W8" i="31"/>
  <c r="U8" i="31"/>
  <c r="V8" i="31"/>
  <c r="W9" i="31"/>
  <c r="S9" i="31"/>
  <c r="T10" i="31"/>
  <c r="W7" i="31"/>
  <c r="Y10" i="31"/>
  <c r="X10" i="31"/>
  <c r="R7" i="31"/>
  <c r="X8" i="31"/>
  <c r="T9" i="31"/>
  <c r="V9" i="31"/>
  <c r="X7" i="31"/>
  <c r="N8" i="31" l="1"/>
  <c r="E23" i="31" s="1"/>
  <c r="O4" i="9"/>
  <c r="V4" i="9"/>
  <c r="N4" i="9"/>
  <c r="U4" i="9"/>
  <c r="T4" i="9"/>
  <c r="L4" i="9"/>
  <c r="P4" i="9"/>
  <c r="M4" i="9"/>
  <c r="S4" i="9"/>
  <c r="R4" i="9"/>
  <c r="Q4" i="9"/>
  <c r="K14" i="9"/>
  <c r="G17" i="31"/>
  <c r="F17" i="31"/>
  <c r="E17" i="31"/>
  <c r="D17" i="31"/>
  <c r="G16" i="31"/>
  <c r="F16" i="31"/>
  <c r="E16" i="31"/>
  <c r="D16" i="31"/>
  <c r="G15" i="31"/>
  <c r="F15" i="31"/>
  <c r="E15" i="31"/>
  <c r="D15" i="31"/>
  <c r="N7" i="31"/>
  <c r="E22" i="31" s="1"/>
  <c r="L7" i="31"/>
  <c r="C22" i="31" s="1"/>
  <c r="O7" i="31"/>
  <c r="F22" i="31" s="1"/>
  <c r="M7" i="31"/>
  <c r="D22" i="31" s="1"/>
  <c r="G22" i="31" s="1"/>
  <c r="O10" i="31"/>
  <c r="F25" i="31" s="1"/>
  <c r="M10" i="31"/>
  <c r="D25" i="31" s="1"/>
  <c r="G25" i="31" s="1"/>
  <c r="N10" i="31"/>
  <c r="E25" i="31" s="1"/>
  <c r="L10" i="31"/>
  <c r="C25" i="31" s="1"/>
  <c r="O9" i="31"/>
  <c r="F24" i="31" s="1"/>
  <c r="M9" i="31"/>
  <c r="D24" i="31" s="1"/>
  <c r="G24" i="31" s="1"/>
  <c r="N9" i="31"/>
  <c r="E24" i="31" s="1"/>
  <c r="L9" i="31"/>
  <c r="C24" i="31" s="1"/>
  <c r="O8" i="31"/>
  <c r="F23" i="31" s="1"/>
  <c r="M8" i="31"/>
  <c r="D23" i="31" s="1"/>
  <c r="G23" i="31" s="1"/>
  <c r="L8" i="31"/>
  <c r="C23" i="31" s="1"/>
  <c r="E3" i="30" l="1"/>
  <c r="F3" i="30" s="1"/>
  <c r="G3" i="30" s="1"/>
  <c r="H3" i="30" s="1"/>
  <c r="I3" i="30" s="1"/>
  <c r="J3" i="30" s="1"/>
  <c r="K3" i="30" s="1"/>
  <c r="L3" i="30" s="1"/>
  <c r="M3" i="30" s="1"/>
  <c r="N3" i="30" s="1"/>
  <c r="L14" i="9"/>
  <c r="H2" i="29"/>
  <c r="E16" i="30" l="1"/>
  <c r="E36" i="30" s="1"/>
  <c r="G16" i="30"/>
  <c r="G36" i="30" s="1"/>
  <c r="I16" i="30"/>
  <c r="I36" i="30" s="1"/>
  <c r="K16" i="30"/>
  <c r="K36" i="30" s="1"/>
  <c r="M16" i="30"/>
  <c r="M36" i="30" s="1"/>
  <c r="D16" i="30"/>
  <c r="D36" i="30" s="1"/>
  <c r="F16" i="30"/>
  <c r="F36" i="30" s="1"/>
  <c r="H16" i="30"/>
  <c r="H36" i="30" s="1"/>
  <c r="J16" i="30"/>
  <c r="J36" i="30" s="1"/>
  <c r="L16" i="30"/>
  <c r="L36" i="30" s="1"/>
  <c r="I56" i="30" l="1"/>
  <c r="M56" i="30"/>
  <c r="H56" i="30"/>
  <c r="K56" i="30"/>
  <c r="F56" i="30"/>
  <c r="L56" i="30"/>
  <c r="D56" i="30"/>
  <c r="G56" i="30"/>
  <c r="J56" i="30"/>
  <c r="E56" i="30"/>
  <c r="U65" i="27"/>
  <c r="T65" i="27"/>
  <c r="S65" i="27"/>
  <c r="R65" i="27"/>
  <c r="Q65" i="27"/>
  <c r="P65" i="27"/>
  <c r="O65" i="27"/>
  <c r="N65" i="27"/>
  <c r="M65" i="27"/>
  <c r="L65" i="27"/>
  <c r="U52" i="27"/>
  <c r="T52" i="27"/>
  <c r="S52" i="27"/>
  <c r="R52" i="27"/>
  <c r="Q52" i="27"/>
  <c r="P52" i="27"/>
  <c r="O52" i="27"/>
  <c r="N52" i="27"/>
  <c r="M52" i="27"/>
  <c r="L52" i="27"/>
  <c r="E7" i="27"/>
  <c r="F7" i="27" s="1"/>
  <c r="G7" i="27" s="1"/>
  <c r="H7" i="27" s="1"/>
  <c r="I7" i="27" s="1"/>
  <c r="J7" i="27" s="1"/>
  <c r="K7" i="27" s="1"/>
  <c r="E62" i="27"/>
  <c r="F62" i="27" s="1"/>
  <c r="G62" i="27" s="1"/>
  <c r="E49" i="27"/>
  <c r="F49" i="27" s="1"/>
  <c r="G49" i="27" s="1"/>
  <c r="C2" i="26"/>
  <c r="B2" i="26"/>
  <c r="H62" i="27" l="1"/>
  <c r="I62" i="27" s="1"/>
  <c r="J62" i="27" s="1"/>
  <c r="K62" i="27" s="1"/>
  <c r="H49" i="27"/>
  <c r="I49" i="27" s="1"/>
  <c r="J49" i="27" s="1"/>
  <c r="K49" i="27" s="1"/>
  <c r="E36" i="23" l="1"/>
  <c r="F36" i="23" s="1"/>
  <c r="G36" i="23" s="1"/>
  <c r="H36" i="23" s="1"/>
  <c r="I36" i="23" s="1"/>
  <c r="J36" i="23" s="1"/>
  <c r="K36" i="23" s="1"/>
  <c r="E7" i="23"/>
  <c r="F7" i="23" s="1"/>
  <c r="G7" i="23" s="1"/>
  <c r="H7" i="23" s="1"/>
  <c r="I7" i="23" s="1"/>
  <c r="J7" i="23" s="1"/>
  <c r="K7" i="23" s="1"/>
  <c r="E8" i="22"/>
  <c r="F8" i="22" s="1"/>
  <c r="G8" i="22" s="1"/>
  <c r="H8" i="22" l="1"/>
  <c r="I8" i="22" s="1"/>
  <c r="J8" i="22" s="1"/>
  <c r="K8" i="22" s="1"/>
  <c r="E31" i="3" l="1"/>
  <c r="F31" i="3" s="1"/>
  <c r="G31" i="3" s="1"/>
  <c r="H31" i="3" s="1"/>
  <c r="O8" i="3"/>
  <c r="L33" i="3" l="1"/>
  <c r="J33" i="3"/>
  <c r="H33" i="3"/>
  <c r="F33" i="3"/>
  <c r="D33" i="3"/>
  <c r="M33" i="3"/>
  <c r="K33" i="3"/>
  <c r="I33" i="3"/>
  <c r="G33" i="3"/>
  <c r="E33" i="3"/>
  <c r="O32" i="3" l="1"/>
  <c r="N32" i="3"/>
  <c r="O31" i="3"/>
  <c r="N31" i="3"/>
  <c r="D34" i="3"/>
  <c r="E30" i="3"/>
  <c r="F30" i="3" s="1"/>
  <c r="G30" i="3" s="1"/>
  <c r="H30" i="3" s="1"/>
  <c r="K30" i="3" s="1"/>
  <c r="L30" i="3" s="1"/>
  <c r="M30" i="3" s="1"/>
  <c r="M22" i="3"/>
  <c r="N22" i="3" s="1"/>
  <c r="O22" i="3" s="1"/>
  <c r="P22" i="3" s="1"/>
  <c r="Q22" i="3" s="1"/>
  <c r="R22" i="3" s="1"/>
  <c r="O33" i="3" l="1"/>
  <c r="N33" i="3"/>
  <c r="O30" i="3"/>
  <c r="N30" i="3"/>
  <c r="E34" i="3"/>
  <c r="G34" i="3"/>
  <c r="I34" i="3"/>
  <c r="K34" i="3"/>
  <c r="M34" i="3"/>
  <c r="F34" i="3"/>
  <c r="H34" i="3"/>
  <c r="J34" i="3"/>
  <c r="L34" i="3"/>
  <c r="D35" i="3"/>
  <c r="F35" i="3"/>
  <c r="H35" i="3"/>
  <c r="J35" i="3"/>
  <c r="L35" i="3"/>
  <c r="D36" i="3"/>
  <c r="F36" i="3"/>
  <c r="H36" i="3"/>
  <c r="J36" i="3"/>
  <c r="L36" i="3"/>
  <c r="E35" i="3"/>
  <c r="G35" i="3"/>
  <c r="I35" i="3"/>
  <c r="K35" i="3"/>
  <c r="M35" i="3"/>
  <c r="E36" i="3"/>
  <c r="G36" i="3"/>
  <c r="I36" i="3"/>
  <c r="K36" i="3"/>
  <c r="M36" i="3"/>
  <c r="N34" i="3" l="1"/>
  <c r="O36" i="3"/>
  <c r="O35" i="3"/>
  <c r="N35" i="3"/>
  <c r="N36" i="3"/>
  <c r="O34" i="3"/>
  <c r="D23" i="3" l="1"/>
  <c r="E26" i="3"/>
  <c r="E25" i="3"/>
  <c r="D1" i="9"/>
  <c r="J3" i="8" l="1"/>
  <c r="I3" i="8"/>
  <c r="H3" i="8"/>
  <c r="G3" i="8"/>
  <c r="O3" i="8" s="1"/>
  <c r="F3" i="8"/>
  <c r="N3" i="8" s="1"/>
  <c r="E3" i="8"/>
  <c r="M3" i="8" s="1"/>
  <c r="D3" i="8"/>
  <c r="L3" i="8" s="1"/>
  <c r="C3" i="8"/>
  <c r="R3" i="8" l="1"/>
  <c r="E4" i="42"/>
  <c r="P3" i="8"/>
  <c r="C4" i="42"/>
  <c r="Q3" i="8"/>
  <c r="D4" i="42"/>
  <c r="C90" i="8"/>
  <c r="D3" i="7"/>
  <c r="D46" i="7" s="1"/>
  <c r="D38" i="7" s="1"/>
  <c r="G90" i="8"/>
  <c r="H3" i="7"/>
  <c r="H46" i="7" s="1"/>
  <c r="H38" i="7" s="1"/>
  <c r="I3" i="7"/>
  <c r="I46" i="7" s="1"/>
  <c r="I38" i="7" s="1"/>
  <c r="H90" i="8"/>
  <c r="F90" i="8"/>
  <c r="G3" i="7"/>
  <c r="G46" i="7" s="1"/>
  <c r="G38" i="7" s="1"/>
  <c r="E3" i="7"/>
  <c r="E46" i="7" s="1"/>
  <c r="E38" i="7" s="1"/>
  <c r="D90" i="8"/>
  <c r="E90" i="8"/>
  <c r="F3" i="7"/>
  <c r="F46" i="7" s="1"/>
  <c r="F38" i="7" s="1"/>
  <c r="I90" i="8"/>
  <c r="J3" i="7"/>
  <c r="J46" i="7" s="1"/>
  <c r="J38" i="7" s="1"/>
  <c r="J90" i="8"/>
  <c r="K3" i="7"/>
  <c r="K46" i="7" s="1"/>
  <c r="K38" i="7" s="1"/>
  <c r="E23" i="25"/>
  <c r="E34" i="25" s="1"/>
  <c r="E45" i="25" s="1"/>
  <c r="E68" i="25" s="1"/>
  <c r="E79" i="25" s="1"/>
  <c r="D23" i="25"/>
  <c r="D34" i="25" s="1"/>
  <c r="D45" i="25" s="1"/>
  <c r="D68" i="25" s="1"/>
  <c r="D79" i="25" s="1"/>
  <c r="H23" i="25"/>
  <c r="H34" i="25" s="1"/>
  <c r="H45" i="25" s="1"/>
  <c r="H68" i="25" s="1"/>
  <c r="H79" i="25" s="1"/>
  <c r="F23" i="25"/>
  <c r="F34" i="25" s="1"/>
  <c r="F45" i="25" s="1"/>
  <c r="F68" i="25" s="1"/>
  <c r="F79" i="25" s="1"/>
  <c r="G23" i="25"/>
  <c r="G34" i="25" s="1"/>
  <c r="G45" i="25" s="1"/>
  <c r="G68" i="25" s="1"/>
  <c r="G79" i="25" s="1"/>
  <c r="D4" i="29"/>
  <c r="C4" i="37"/>
  <c r="E4" i="29"/>
  <c r="D4" i="37"/>
  <c r="F4" i="29"/>
  <c r="E4" i="37"/>
  <c r="D6" i="25"/>
  <c r="I23" i="25"/>
  <c r="I34" i="25" s="1"/>
  <c r="I45" i="25" s="1"/>
  <c r="E6" i="25"/>
  <c r="J23" i="25"/>
  <c r="J34" i="25" s="1"/>
  <c r="J45" i="25" s="1"/>
  <c r="K23" i="25"/>
  <c r="F6" i="25"/>
  <c r="E1" i="9"/>
  <c r="C53" i="8"/>
  <c r="D8" i="3" s="1"/>
  <c r="C5" i="26"/>
  <c r="C54" i="26" s="1"/>
  <c r="D8" i="27"/>
  <c r="D27" i="27" s="1"/>
  <c r="D50" i="27"/>
  <c r="E53" i="8"/>
  <c r="E5" i="26"/>
  <c r="E54" i="26" s="1"/>
  <c r="F8" i="27"/>
  <c r="F27" i="27" s="1"/>
  <c r="F50" i="27"/>
  <c r="G53" i="8"/>
  <c r="G5" i="26"/>
  <c r="G54" i="26" s="1"/>
  <c r="H8" i="27"/>
  <c r="H27" i="27" s="1"/>
  <c r="H50" i="27"/>
  <c r="I53" i="8"/>
  <c r="I5" i="26"/>
  <c r="I54" i="26" s="1"/>
  <c r="J8" i="27"/>
  <c r="J27" i="27" s="1"/>
  <c r="J50" i="27"/>
  <c r="D53" i="8"/>
  <c r="E8" i="27"/>
  <c r="E27" i="27" s="1"/>
  <c r="E50" i="27"/>
  <c r="D5" i="26"/>
  <c r="D54" i="26" s="1"/>
  <c r="F53" i="8"/>
  <c r="G8" i="27"/>
  <c r="G27" i="27" s="1"/>
  <c r="G50" i="27"/>
  <c r="F5" i="26"/>
  <c r="F54" i="26" s="1"/>
  <c r="H53" i="8"/>
  <c r="I8" i="27"/>
  <c r="I27" i="27" s="1"/>
  <c r="I50" i="27"/>
  <c r="H5" i="26"/>
  <c r="H54" i="26" s="1"/>
  <c r="J53" i="8"/>
  <c r="K8" i="27"/>
  <c r="K27" i="27" s="1"/>
  <c r="I33" i="27" s="1"/>
  <c r="J33" i="27" s="1"/>
  <c r="K33" i="27" s="1"/>
  <c r="L33" i="27" s="1"/>
  <c r="M33" i="27" s="1"/>
  <c r="N33" i="27" s="1"/>
  <c r="O33" i="27" s="1"/>
  <c r="P33" i="27" s="1"/>
  <c r="Q33" i="27" s="1"/>
  <c r="R33" i="27" s="1"/>
  <c r="K50" i="27"/>
  <c r="J5" i="26"/>
  <c r="C3" i="36" l="1"/>
  <c r="I101" i="23"/>
  <c r="I119" i="23" s="1"/>
  <c r="I209" i="25"/>
  <c r="I212" i="25" s="1"/>
  <c r="G101" i="23"/>
  <c r="G119" i="23" s="1"/>
  <c r="G209" i="25"/>
  <c r="G212" i="25" s="1"/>
  <c r="D3" i="36"/>
  <c r="J101" i="23"/>
  <c r="J119" i="23" s="1"/>
  <c r="J209" i="25"/>
  <c r="J212" i="25" s="1"/>
  <c r="H101" i="23"/>
  <c r="H119" i="23" s="1"/>
  <c r="H209" i="25"/>
  <c r="H212" i="25" s="1"/>
  <c r="F101" i="23"/>
  <c r="F119" i="23" s="1"/>
  <c r="F209" i="25"/>
  <c r="F212" i="25" s="1"/>
  <c r="D101" i="23"/>
  <c r="D119" i="23" s="1"/>
  <c r="D209" i="25"/>
  <c r="D212" i="25" s="1"/>
  <c r="E3" i="36"/>
  <c r="K101" i="23"/>
  <c r="K119" i="23" s="1"/>
  <c r="K209" i="25"/>
  <c r="L209" i="25" s="1"/>
  <c r="M209" i="25" s="1"/>
  <c r="N209" i="25" s="1"/>
  <c r="O209" i="25" s="1"/>
  <c r="P209" i="25" s="1"/>
  <c r="Q209" i="25" s="1"/>
  <c r="R209" i="25" s="1"/>
  <c r="S209" i="25" s="1"/>
  <c r="T209" i="25" s="1"/>
  <c r="U209" i="25" s="1"/>
  <c r="E101" i="23"/>
  <c r="E119" i="23" s="1"/>
  <c r="E209" i="25"/>
  <c r="E212" i="25" s="1"/>
  <c r="H90" i="25"/>
  <c r="H56" i="25" s="1"/>
  <c r="F90" i="25"/>
  <c r="F56" i="25" s="1"/>
  <c r="D90" i="25"/>
  <c r="D56" i="25" s="1"/>
  <c r="G90" i="25"/>
  <c r="G56" i="25" s="1"/>
  <c r="E90" i="25"/>
  <c r="E56" i="25" s="1"/>
  <c r="J68" i="25"/>
  <c r="J79" i="25" s="1"/>
  <c r="I68" i="25"/>
  <c r="I79" i="25" s="1"/>
  <c r="L23" i="25"/>
  <c r="K34" i="25"/>
  <c r="K45" i="25" s="1"/>
  <c r="L45" i="25" s="1"/>
  <c r="M45" i="25" s="1"/>
  <c r="N45" i="25" s="1"/>
  <c r="O45" i="25" s="1"/>
  <c r="P45" i="25" s="1"/>
  <c r="Q45" i="25" s="1"/>
  <c r="R45" i="25" s="1"/>
  <c r="S45" i="25" s="1"/>
  <c r="T45" i="25" s="1"/>
  <c r="U45" i="25" s="1"/>
  <c r="I29" i="25"/>
  <c r="J29" i="25" s="1"/>
  <c r="K29" i="25" s="1"/>
  <c r="L29" i="25" s="1"/>
  <c r="M29" i="25" s="1"/>
  <c r="N29" i="25" s="1"/>
  <c r="O29" i="25" s="1"/>
  <c r="P29" i="25" s="1"/>
  <c r="Q29" i="25" s="1"/>
  <c r="R29" i="25" s="1"/>
  <c r="J54" i="26"/>
  <c r="C52" i="26"/>
  <c r="D52" i="26"/>
  <c r="F1" i="9"/>
  <c r="D40" i="27"/>
  <c r="D41" i="27" s="1"/>
  <c r="D42" i="27" s="1"/>
  <c r="D95" i="27"/>
  <c r="D96" i="27" s="1"/>
  <c r="D97" i="27" s="1"/>
  <c r="L8" i="27"/>
  <c r="I14" i="27"/>
  <c r="J63" i="27"/>
  <c r="H63" i="27"/>
  <c r="F63" i="27"/>
  <c r="D63" i="27"/>
  <c r="K63" i="27"/>
  <c r="L50" i="27"/>
  <c r="M50" i="27" s="1"/>
  <c r="N50" i="27" s="1"/>
  <c r="O50" i="27" s="1"/>
  <c r="P50" i="27" s="1"/>
  <c r="Q50" i="27" s="1"/>
  <c r="R50" i="27" s="1"/>
  <c r="S50" i="27" s="1"/>
  <c r="T50" i="27" s="1"/>
  <c r="U50" i="27" s="1"/>
  <c r="I56" i="27"/>
  <c r="K8" i="3"/>
  <c r="D22" i="30"/>
  <c r="I63" i="27"/>
  <c r="I8" i="3"/>
  <c r="G63" i="27"/>
  <c r="G8" i="3"/>
  <c r="E63" i="27"/>
  <c r="E8" i="3"/>
  <c r="J8" i="3"/>
  <c r="H8" i="3"/>
  <c r="F8" i="3"/>
  <c r="F140" i="3" l="1"/>
  <c r="F10" i="45"/>
  <c r="F11" i="44"/>
  <c r="F8" i="46"/>
  <c r="J10" i="45"/>
  <c r="J11" i="44"/>
  <c r="J8" i="46"/>
  <c r="I8" i="46"/>
  <c r="I10" i="45"/>
  <c r="I11" i="44"/>
  <c r="G140" i="3"/>
  <c r="G11" i="44"/>
  <c r="G8" i="46"/>
  <c r="G10" i="45"/>
  <c r="D140" i="3"/>
  <c r="D8" i="46"/>
  <c r="D10" i="45"/>
  <c r="D11" i="44"/>
  <c r="H140" i="3"/>
  <c r="H11" i="44"/>
  <c r="H8" i="46"/>
  <c r="H10" i="45"/>
  <c r="E140" i="3"/>
  <c r="E10" i="45"/>
  <c r="E11" i="44"/>
  <c r="E8" i="46"/>
  <c r="K11" i="44"/>
  <c r="L11" i="44" s="1"/>
  <c r="K8" i="46"/>
  <c r="L8" i="46" s="1"/>
  <c r="K10" i="45"/>
  <c r="L10" i="45" s="1"/>
  <c r="J49" i="30"/>
  <c r="F49" i="30"/>
  <c r="L29" i="30"/>
  <c r="H29" i="30"/>
  <c r="D29" i="30"/>
  <c r="J9" i="30"/>
  <c r="F9" i="30"/>
  <c r="I9" i="30"/>
  <c r="D42" i="30"/>
  <c r="E42" i="30" s="1"/>
  <c r="M49" i="30"/>
  <c r="I49" i="30"/>
  <c r="E49" i="30"/>
  <c r="K29" i="30"/>
  <c r="G29" i="30"/>
  <c r="M9" i="30"/>
  <c r="E9" i="30"/>
  <c r="L49" i="30"/>
  <c r="H49" i="30"/>
  <c r="D49" i="30"/>
  <c r="J29" i="30"/>
  <c r="F29" i="30"/>
  <c r="L9" i="30"/>
  <c r="H9" i="30"/>
  <c r="D9" i="30"/>
  <c r="K49" i="30"/>
  <c r="G49" i="30"/>
  <c r="M29" i="30"/>
  <c r="I29" i="30"/>
  <c r="E29" i="30"/>
  <c r="K9" i="30"/>
  <c r="G9" i="30"/>
  <c r="M8" i="27"/>
  <c r="L27" i="27"/>
  <c r="I90" i="25"/>
  <c r="I56" i="25" s="1"/>
  <c r="J90" i="25"/>
  <c r="J56" i="25" s="1"/>
  <c r="G45" i="3"/>
  <c r="G58" i="3" s="1"/>
  <c r="G71" i="3" s="1"/>
  <c r="G86" i="3" s="1"/>
  <c r="G99" i="3" s="1"/>
  <c r="G112" i="3" s="1"/>
  <c r="G126" i="3" s="1"/>
  <c r="K140" i="3"/>
  <c r="F45" i="3"/>
  <c r="F58" i="3" s="1"/>
  <c r="F71" i="3" s="1"/>
  <c r="F86" i="3" s="1"/>
  <c r="F99" i="3" s="1"/>
  <c r="F112" i="3" s="1"/>
  <c r="F126" i="3" s="1"/>
  <c r="J140" i="3"/>
  <c r="E45" i="3"/>
  <c r="E58" i="3" s="1"/>
  <c r="E71" i="3" s="1"/>
  <c r="E86" i="3" s="1"/>
  <c r="E99" i="3" s="1"/>
  <c r="E112" i="3" s="1"/>
  <c r="E126" i="3" s="1"/>
  <c r="I140" i="3"/>
  <c r="M23" i="25"/>
  <c r="H6" i="25"/>
  <c r="F4" i="37" s="1"/>
  <c r="D62" i="30" s="1"/>
  <c r="K212" i="25"/>
  <c r="L34" i="25"/>
  <c r="M34" i="25" s="1"/>
  <c r="N34" i="25" s="1"/>
  <c r="O34" i="25" s="1"/>
  <c r="P34" i="25" s="1"/>
  <c r="Q34" i="25" s="1"/>
  <c r="R34" i="25" s="1"/>
  <c r="S34" i="25" s="1"/>
  <c r="T34" i="25" s="1"/>
  <c r="U34" i="25" s="1"/>
  <c r="I40" i="25"/>
  <c r="J40" i="25" s="1"/>
  <c r="K40" i="25" s="1"/>
  <c r="L40" i="25" s="1"/>
  <c r="M40" i="25" s="1"/>
  <c r="N40" i="25" s="1"/>
  <c r="O40" i="25" s="1"/>
  <c r="P40" i="25" s="1"/>
  <c r="Q40" i="25" s="1"/>
  <c r="R40" i="25" s="1"/>
  <c r="F3" i="36"/>
  <c r="E52" i="26"/>
  <c r="G1" i="9"/>
  <c r="K9" i="22"/>
  <c r="G74" i="22" s="1"/>
  <c r="G87" i="22" s="1"/>
  <c r="G100" i="22" s="1"/>
  <c r="G115" i="22" s="1"/>
  <c r="G128" i="22" s="1"/>
  <c r="G141" i="22" s="1"/>
  <c r="G155" i="22" s="1"/>
  <c r="K8" i="23"/>
  <c r="K14" i="3"/>
  <c r="K21" i="3" s="1"/>
  <c r="K9" i="43" s="1"/>
  <c r="D29" i="3"/>
  <c r="J14" i="27"/>
  <c r="E21" i="27"/>
  <c r="G9" i="22"/>
  <c r="G8" i="23"/>
  <c r="G14" i="3"/>
  <c r="G21" i="3" s="1"/>
  <c r="G9" i="43" s="1"/>
  <c r="D8" i="23"/>
  <c r="D9" i="22"/>
  <c r="D14" i="3"/>
  <c r="D21" i="3" s="1"/>
  <c r="F8" i="23"/>
  <c r="F9" i="22"/>
  <c r="F14" i="3"/>
  <c r="F21" i="3" s="1"/>
  <c r="F9" i="43" s="1"/>
  <c r="H8" i="23"/>
  <c r="H9" i="22"/>
  <c r="H14" i="3"/>
  <c r="H21" i="3" s="1"/>
  <c r="H9" i="43" s="1"/>
  <c r="J8" i="23"/>
  <c r="J9" i="22"/>
  <c r="F74" i="22" s="1"/>
  <c r="F87" i="22" s="1"/>
  <c r="F100" i="22" s="1"/>
  <c r="F115" i="22" s="1"/>
  <c r="F128" i="22" s="1"/>
  <c r="F141" i="22" s="1"/>
  <c r="F155" i="22" s="1"/>
  <c r="J14" i="3"/>
  <c r="J21" i="3" s="1"/>
  <c r="J9" i="43" s="1"/>
  <c r="E9" i="22"/>
  <c r="E8" i="23"/>
  <c r="E14" i="3"/>
  <c r="E21" i="3" s="1"/>
  <c r="E9" i="43" s="1"/>
  <c r="I9" i="22"/>
  <c r="E74" i="22" s="1"/>
  <c r="E87" i="22" s="1"/>
  <c r="E100" i="22" s="1"/>
  <c r="E115" i="22" s="1"/>
  <c r="E128" i="22" s="1"/>
  <c r="E141" i="22" s="1"/>
  <c r="E155" i="22" s="1"/>
  <c r="I8" i="23"/>
  <c r="I14" i="3"/>
  <c r="I21" i="3" s="1"/>
  <c r="I9" i="43" s="1"/>
  <c r="E22" i="30"/>
  <c r="E94" i="27"/>
  <c r="J56" i="27"/>
  <c r="L63" i="27"/>
  <c r="D74" i="30" l="1"/>
  <c r="E79" i="30" s="1"/>
  <c r="D67" i="30"/>
  <c r="L20" i="46"/>
  <c r="M8" i="46"/>
  <c r="I14" i="46"/>
  <c r="J14" i="46" s="1"/>
  <c r="K14" i="46" s="1"/>
  <c r="L14" i="46" s="1"/>
  <c r="M14" i="46" s="1"/>
  <c r="N14" i="46" s="1"/>
  <c r="O14" i="46" s="1"/>
  <c r="P14" i="46" s="1"/>
  <c r="Q14" i="46" s="1"/>
  <c r="R14" i="46" s="1"/>
  <c r="M11" i="44"/>
  <c r="N11" i="44" s="1"/>
  <c r="O11" i="44" s="1"/>
  <c r="P11" i="44" s="1"/>
  <c r="Q11" i="44" s="1"/>
  <c r="R11" i="44" s="1"/>
  <c r="S11" i="44" s="1"/>
  <c r="T11" i="44" s="1"/>
  <c r="U11" i="44" s="1"/>
  <c r="I17" i="44"/>
  <c r="I16" i="45"/>
  <c r="J16" i="45" s="1"/>
  <c r="K16" i="45" s="1"/>
  <c r="L16" i="45" s="1"/>
  <c r="M16" i="45" s="1"/>
  <c r="N16" i="45" s="1"/>
  <c r="O16" i="45" s="1"/>
  <c r="P16" i="45" s="1"/>
  <c r="Q16" i="45" s="1"/>
  <c r="R16" i="45" s="1"/>
  <c r="M10" i="45"/>
  <c r="N10" i="45" s="1"/>
  <c r="O10" i="45" s="1"/>
  <c r="P10" i="45" s="1"/>
  <c r="Q10" i="45" s="1"/>
  <c r="R10" i="45" s="1"/>
  <c r="S10" i="45" s="1"/>
  <c r="T10" i="45" s="1"/>
  <c r="U10" i="45" s="1"/>
  <c r="D37" i="23"/>
  <c r="D69" i="23" s="1"/>
  <c r="D9" i="43"/>
  <c r="I23" i="43"/>
  <c r="L9" i="43"/>
  <c r="M9" i="43" s="1"/>
  <c r="N9" i="43" s="1"/>
  <c r="O9" i="43" s="1"/>
  <c r="P9" i="43" s="1"/>
  <c r="Q9" i="43" s="1"/>
  <c r="R9" i="43" s="1"/>
  <c r="S9" i="43" s="1"/>
  <c r="T9" i="43" s="1"/>
  <c r="U9" i="43" s="1"/>
  <c r="N8" i="27"/>
  <c r="M27" i="27"/>
  <c r="M63" i="27"/>
  <c r="H78" i="27"/>
  <c r="H45" i="3"/>
  <c r="I45" i="3" s="1"/>
  <c r="D153" i="3"/>
  <c r="L140" i="3"/>
  <c r="M140" i="3" s="1"/>
  <c r="N140" i="3" s="1"/>
  <c r="O140" i="3" s="1"/>
  <c r="P140" i="3" s="1"/>
  <c r="Q140" i="3" s="1"/>
  <c r="R140" i="3" s="1"/>
  <c r="S140" i="3" s="1"/>
  <c r="T140" i="3" s="1"/>
  <c r="U140" i="3" s="1"/>
  <c r="I146" i="3"/>
  <c r="J146" i="3" s="1"/>
  <c r="K146" i="3" s="1"/>
  <c r="L146" i="3" s="1"/>
  <c r="M146" i="3" s="1"/>
  <c r="N146" i="3" s="1"/>
  <c r="O146" i="3" s="1"/>
  <c r="P146" i="3" s="1"/>
  <c r="Q146" i="3" s="1"/>
  <c r="R146" i="3" s="1"/>
  <c r="I37" i="23"/>
  <c r="I69" i="23" s="1"/>
  <c r="E37" i="23"/>
  <c r="E69" i="23" s="1"/>
  <c r="J37" i="23"/>
  <c r="J69" i="23" s="1"/>
  <c r="H37" i="23"/>
  <c r="H69" i="23" s="1"/>
  <c r="F37" i="23"/>
  <c r="F69" i="23" s="1"/>
  <c r="G37" i="23"/>
  <c r="G69" i="23" s="1"/>
  <c r="K37" i="23"/>
  <c r="M212" i="25"/>
  <c r="N23" i="25"/>
  <c r="I6" i="25"/>
  <c r="G4" i="37" s="1"/>
  <c r="E62" i="30" s="1"/>
  <c r="L212" i="25"/>
  <c r="G3" i="36"/>
  <c r="F52" i="26"/>
  <c r="H1" i="9"/>
  <c r="F21" i="27"/>
  <c r="K14" i="27"/>
  <c r="L8" i="23"/>
  <c r="M8" i="23" s="1"/>
  <c r="N8" i="23" s="1"/>
  <c r="O8" i="23" s="1"/>
  <c r="P8" i="23" s="1"/>
  <c r="Q8" i="23" s="1"/>
  <c r="R8" i="23" s="1"/>
  <c r="S8" i="23" s="1"/>
  <c r="T8" i="23" s="1"/>
  <c r="U8" i="23" s="1"/>
  <c r="F94" i="27"/>
  <c r="K56" i="27"/>
  <c r="E39" i="27"/>
  <c r="F39" i="27" s="1"/>
  <c r="G39" i="27" s="1"/>
  <c r="H39" i="27" s="1"/>
  <c r="I39" i="27" s="1"/>
  <c r="J39" i="27" s="1"/>
  <c r="K39" i="27" s="1"/>
  <c r="L39" i="27" s="1"/>
  <c r="M39" i="27" s="1"/>
  <c r="N39" i="27" s="1"/>
  <c r="E29" i="3"/>
  <c r="L9" i="22"/>
  <c r="I15" i="22"/>
  <c r="E21" i="22" s="1"/>
  <c r="M20" i="46" l="1"/>
  <c r="N8" i="46"/>
  <c r="E74" i="30"/>
  <c r="F79" i="30" s="1"/>
  <c r="E67" i="30"/>
  <c r="J17" i="44"/>
  <c r="K17" i="44" s="1"/>
  <c r="L17" i="44" s="1"/>
  <c r="M17" i="44" s="1"/>
  <c r="N17" i="44" s="1"/>
  <c r="O17" i="44" s="1"/>
  <c r="P17" i="44" s="1"/>
  <c r="Q17" i="44" s="1"/>
  <c r="R17" i="44" s="1"/>
  <c r="I25" i="44"/>
  <c r="J25" i="44" s="1"/>
  <c r="K25" i="44" s="1"/>
  <c r="L25" i="44" s="1"/>
  <c r="M25" i="44" s="1"/>
  <c r="N25" i="44" s="1"/>
  <c r="O25" i="44" s="1"/>
  <c r="P25" i="44" s="1"/>
  <c r="Q25" i="44" s="1"/>
  <c r="R25" i="44" s="1"/>
  <c r="J23" i="43"/>
  <c r="K23" i="43" s="1"/>
  <c r="L23" i="43" s="1"/>
  <c r="M23" i="43" s="1"/>
  <c r="N23" i="43" s="1"/>
  <c r="O23" i="43" s="1"/>
  <c r="P23" i="43" s="1"/>
  <c r="Q23" i="43" s="1"/>
  <c r="R23" i="43" s="1"/>
  <c r="I30" i="43"/>
  <c r="H58" i="3"/>
  <c r="H71" i="3" s="1"/>
  <c r="H86" i="3" s="1"/>
  <c r="H99" i="3" s="1"/>
  <c r="H112" i="3" s="1"/>
  <c r="H126" i="3" s="1"/>
  <c r="L37" i="23"/>
  <c r="M37" i="23" s="1"/>
  <c r="K69" i="23"/>
  <c r="O8" i="27"/>
  <c r="N27" i="27"/>
  <c r="N63" i="27"/>
  <c r="I78" i="27"/>
  <c r="I47" i="23"/>
  <c r="J47" i="23" s="1"/>
  <c r="K47" i="23" s="1"/>
  <c r="L47" i="23" s="1"/>
  <c r="M47" i="23" s="1"/>
  <c r="N47" i="23" s="1"/>
  <c r="O47" i="23" s="1"/>
  <c r="P47" i="23" s="1"/>
  <c r="Q47" i="23" s="1"/>
  <c r="R47" i="23" s="1"/>
  <c r="M9" i="22"/>
  <c r="H74" i="22"/>
  <c r="H87" i="22" s="1"/>
  <c r="H100" i="22" s="1"/>
  <c r="H115" i="22" s="1"/>
  <c r="H128" i="22" s="1"/>
  <c r="H141" i="22" s="1"/>
  <c r="H155" i="22" s="1"/>
  <c r="E163" i="22" s="1"/>
  <c r="F163" i="22" s="1"/>
  <c r="G163" i="22" s="1"/>
  <c r="H163" i="22" s="1"/>
  <c r="I163" i="22" s="1"/>
  <c r="J163" i="22" s="1"/>
  <c r="K163" i="22" s="1"/>
  <c r="L163" i="22" s="1"/>
  <c r="M163" i="22" s="1"/>
  <c r="N163" i="22" s="1"/>
  <c r="J45" i="3"/>
  <c r="I58" i="3"/>
  <c r="I71" i="3" s="1"/>
  <c r="O23" i="25"/>
  <c r="J6" i="25"/>
  <c r="H4" i="37" s="1"/>
  <c r="F62" i="30" s="1"/>
  <c r="N212" i="25"/>
  <c r="K68" i="25"/>
  <c r="I51" i="25"/>
  <c r="J51" i="25" s="1"/>
  <c r="K51" i="25" s="1"/>
  <c r="L51" i="25" s="1"/>
  <c r="M51" i="25" s="1"/>
  <c r="N51" i="25" s="1"/>
  <c r="O51" i="25" s="1"/>
  <c r="P51" i="25" s="1"/>
  <c r="Q51" i="25" s="1"/>
  <c r="R51" i="25" s="1"/>
  <c r="H3" i="36"/>
  <c r="G52" i="26"/>
  <c r="I1" i="9"/>
  <c r="J15" i="22"/>
  <c r="K15" i="22" s="1"/>
  <c r="L15" i="22" s="1"/>
  <c r="M15" i="22" s="1"/>
  <c r="N15" i="22" s="1"/>
  <c r="O15" i="22" s="1"/>
  <c r="P15" i="22" s="1"/>
  <c r="Q15" i="22" s="1"/>
  <c r="R15" i="22" s="1"/>
  <c r="F29" i="3"/>
  <c r="G94" i="27"/>
  <c r="L56" i="27"/>
  <c r="G21" i="27"/>
  <c r="L14" i="27"/>
  <c r="F74" i="30" l="1"/>
  <c r="G79" i="30" s="1"/>
  <c r="F67" i="30"/>
  <c r="O8" i="46"/>
  <c r="N20" i="46"/>
  <c r="I37" i="43"/>
  <c r="J37" i="43" s="1"/>
  <c r="K37" i="43" s="1"/>
  <c r="L37" i="43" s="1"/>
  <c r="M37" i="43" s="1"/>
  <c r="N37" i="43" s="1"/>
  <c r="O37" i="43" s="1"/>
  <c r="P37" i="43" s="1"/>
  <c r="Q37" i="43" s="1"/>
  <c r="R37" i="43" s="1"/>
  <c r="J30" i="43"/>
  <c r="K30" i="43" s="1"/>
  <c r="L30" i="43" s="1"/>
  <c r="M30" i="43" s="1"/>
  <c r="N30" i="43" s="1"/>
  <c r="O30" i="43" s="1"/>
  <c r="P30" i="43" s="1"/>
  <c r="Q30" i="43" s="1"/>
  <c r="R30" i="43" s="1"/>
  <c r="E131" i="3"/>
  <c r="E153" i="3" s="1"/>
  <c r="L101" i="23" s="1"/>
  <c r="L69" i="23"/>
  <c r="N37" i="23"/>
  <c r="M69" i="23"/>
  <c r="I54" i="23"/>
  <c r="I61" i="23" s="1"/>
  <c r="P8" i="27"/>
  <c r="O27" i="27"/>
  <c r="O63" i="27"/>
  <c r="J78" i="27"/>
  <c r="N9" i="22"/>
  <c r="I74" i="22"/>
  <c r="I87" i="22" s="1"/>
  <c r="I100" i="22" s="1"/>
  <c r="I115" i="22" s="1"/>
  <c r="I128" i="22" s="1"/>
  <c r="I141" i="22" s="1"/>
  <c r="I155" i="22" s="1"/>
  <c r="F131" i="3"/>
  <c r="F153" i="3" s="1"/>
  <c r="I86" i="3"/>
  <c r="I99" i="3" s="1"/>
  <c r="I112" i="3" s="1"/>
  <c r="I126" i="3" s="1"/>
  <c r="K45" i="3"/>
  <c r="J58" i="3"/>
  <c r="J71" i="3" s="1"/>
  <c r="O212" i="25"/>
  <c r="P23" i="25"/>
  <c r="K6" i="25"/>
  <c r="I4" i="37" s="1"/>
  <c r="G62" i="30" s="1"/>
  <c r="K79" i="25"/>
  <c r="I74" i="25"/>
  <c r="J74" i="25" s="1"/>
  <c r="K74" i="25" s="1"/>
  <c r="L74" i="25" s="1"/>
  <c r="M74" i="25" s="1"/>
  <c r="N74" i="25" s="1"/>
  <c r="O74" i="25" s="1"/>
  <c r="P74" i="25" s="1"/>
  <c r="Q74" i="25" s="1"/>
  <c r="R74" i="25" s="1"/>
  <c r="L68" i="25"/>
  <c r="M68" i="25" s="1"/>
  <c r="N68" i="25" s="1"/>
  <c r="O68" i="25" s="1"/>
  <c r="P68" i="25" s="1"/>
  <c r="Q68" i="25" s="1"/>
  <c r="R68" i="25" s="1"/>
  <c r="S68" i="25" s="1"/>
  <c r="T68" i="25" s="1"/>
  <c r="U68" i="25" s="1"/>
  <c r="I3" i="36"/>
  <c r="H52" i="26"/>
  <c r="J1" i="9"/>
  <c r="J54" i="23"/>
  <c r="K54" i="23" s="1"/>
  <c r="L54" i="23" s="1"/>
  <c r="M54" i="23" s="1"/>
  <c r="N54" i="23" s="1"/>
  <c r="O54" i="23" s="1"/>
  <c r="P54" i="23" s="1"/>
  <c r="Q54" i="23" s="1"/>
  <c r="R54" i="23" s="1"/>
  <c r="H94" i="27"/>
  <c r="M56" i="27"/>
  <c r="G29" i="3"/>
  <c r="H21" i="27"/>
  <c r="M14" i="27"/>
  <c r="G74" i="30" l="1"/>
  <c r="H79" i="30" s="1"/>
  <c r="G67" i="30"/>
  <c r="P8" i="46"/>
  <c r="O20" i="46"/>
  <c r="M101" i="23"/>
  <c r="L119" i="23"/>
  <c r="E43" i="43" s="1"/>
  <c r="O37" i="23"/>
  <c r="N69" i="23"/>
  <c r="Q8" i="27"/>
  <c r="P27" i="27"/>
  <c r="P63" i="27"/>
  <c r="K78" i="27"/>
  <c r="K90" i="25"/>
  <c r="K56" i="25" s="1"/>
  <c r="O9" i="22"/>
  <c r="J74" i="22"/>
  <c r="J87" i="22" s="1"/>
  <c r="J100" i="22" s="1"/>
  <c r="J115" i="22" s="1"/>
  <c r="J128" i="22" s="1"/>
  <c r="J141" i="22" s="1"/>
  <c r="J155" i="22" s="1"/>
  <c r="G131" i="3"/>
  <c r="G153" i="3" s="1"/>
  <c r="J86" i="3"/>
  <c r="J99" i="3" s="1"/>
  <c r="J112" i="3" s="1"/>
  <c r="J126" i="3" s="1"/>
  <c r="L45" i="3"/>
  <c r="K58" i="3"/>
  <c r="K71" i="3" s="1"/>
  <c r="J61" i="23"/>
  <c r="K61" i="23" s="1"/>
  <c r="L61" i="23" s="1"/>
  <c r="M61" i="23" s="1"/>
  <c r="N61" i="23" s="1"/>
  <c r="O61" i="23" s="1"/>
  <c r="P61" i="23" s="1"/>
  <c r="Q61" i="23" s="1"/>
  <c r="R61" i="23" s="1"/>
  <c r="Q23" i="25"/>
  <c r="L6" i="25"/>
  <c r="J4" i="37" s="1"/>
  <c r="H62" i="30" s="1"/>
  <c r="P212" i="25"/>
  <c r="I85" i="25"/>
  <c r="J85" i="25" s="1"/>
  <c r="K85" i="25" s="1"/>
  <c r="L85" i="25" s="1"/>
  <c r="M85" i="25" s="1"/>
  <c r="N85" i="25" s="1"/>
  <c r="O85" i="25" s="1"/>
  <c r="P85" i="25" s="1"/>
  <c r="Q85" i="25" s="1"/>
  <c r="R85" i="25" s="1"/>
  <c r="L79" i="25"/>
  <c r="J3" i="36"/>
  <c r="I52" i="26"/>
  <c r="L9" i="9"/>
  <c r="U14" i="9"/>
  <c r="S14" i="9"/>
  <c r="Q14" i="9"/>
  <c r="O14" i="9"/>
  <c r="M14" i="9"/>
  <c r="V14" i="9"/>
  <c r="T14" i="9"/>
  <c r="R14" i="9"/>
  <c r="P14" i="9"/>
  <c r="N14" i="9"/>
  <c r="K1" i="9"/>
  <c r="I21" i="27"/>
  <c r="N14" i="27"/>
  <c r="H29" i="3"/>
  <c r="I94" i="27"/>
  <c r="N56" i="27"/>
  <c r="P20" i="46" l="1"/>
  <c r="Q8" i="46"/>
  <c r="H74" i="30"/>
  <c r="I79" i="30" s="1"/>
  <c r="H67" i="30"/>
  <c r="N101" i="23"/>
  <c r="M119" i="23"/>
  <c r="F43" i="43" s="1"/>
  <c r="P37" i="23"/>
  <c r="O69" i="23"/>
  <c r="R8" i="27"/>
  <c r="Q27" i="27"/>
  <c r="Q63" i="27"/>
  <c r="L78" i="27"/>
  <c r="I62" i="25"/>
  <c r="J62" i="25" s="1"/>
  <c r="L56" i="25"/>
  <c r="M56" i="25" s="1"/>
  <c r="N56" i="25" s="1"/>
  <c r="O56" i="25" s="1"/>
  <c r="P56" i="25" s="1"/>
  <c r="Q56" i="25" s="1"/>
  <c r="R56" i="25" s="1"/>
  <c r="S56" i="25" s="1"/>
  <c r="T56" i="25" s="1"/>
  <c r="U56" i="25" s="1"/>
  <c r="I96" i="25"/>
  <c r="J96" i="25" s="1"/>
  <c r="K96" i="25" s="1"/>
  <c r="L96" i="25" s="1"/>
  <c r="M96" i="25" s="1"/>
  <c r="N96" i="25" s="1"/>
  <c r="O96" i="25" s="1"/>
  <c r="P96" i="25" s="1"/>
  <c r="Q96" i="25" s="1"/>
  <c r="R96" i="25" s="1"/>
  <c r="M79" i="25"/>
  <c r="L90" i="25"/>
  <c r="P9" i="22"/>
  <c r="K74" i="22"/>
  <c r="K87" i="22" s="1"/>
  <c r="K100" i="22" s="1"/>
  <c r="K115" i="22" s="1"/>
  <c r="K128" i="22" s="1"/>
  <c r="K141" i="22" s="1"/>
  <c r="K155" i="22" s="1"/>
  <c r="H131" i="3"/>
  <c r="H153" i="3" s="1"/>
  <c r="K86" i="3"/>
  <c r="K99" i="3" s="1"/>
  <c r="K112" i="3" s="1"/>
  <c r="K126" i="3" s="1"/>
  <c r="M45" i="3"/>
  <c r="L58" i="3"/>
  <c r="L71" i="3" s="1"/>
  <c r="Q212" i="25"/>
  <c r="R23" i="25"/>
  <c r="M6" i="25"/>
  <c r="K4" i="37" s="1"/>
  <c r="I62" i="30" s="1"/>
  <c r="K3" i="36"/>
  <c r="J52" i="26"/>
  <c r="L10" i="9"/>
  <c r="M9" i="9"/>
  <c r="J94" i="27"/>
  <c r="O56" i="27"/>
  <c r="I29" i="3"/>
  <c r="N29" i="3"/>
  <c r="J21" i="27"/>
  <c r="O14" i="27"/>
  <c r="I74" i="30" l="1"/>
  <c r="J79" i="30" s="1"/>
  <c r="I67" i="30"/>
  <c r="R8" i="46"/>
  <c r="Q20" i="46"/>
  <c r="O101" i="23"/>
  <c r="N119" i="23"/>
  <c r="G43" i="43" s="1"/>
  <c r="Q37" i="23"/>
  <c r="P69" i="23"/>
  <c r="S8" i="27"/>
  <c r="R27" i="27"/>
  <c r="R63" i="27"/>
  <c r="M78" i="27"/>
  <c r="D101" i="25"/>
  <c r="N79" i="25"/>
  <c r="M90" i="25"/>
  <c r="Q9" i="22"/>
  <c r="L74" i="22"/>
  <c r="L87" i="22" s="1"/>
  <c r="L100" i="22" s="1"/>
  <c r="L115" i="22" s="1"/>
  <c r="L128" i="22" s="1"/>
  <c r="L141" i="22" s="1"/>
  <c r="L155" i="22" s="1"/>
  <c r="I131" i="3"/>
  <c r="O131" i="3" s="1"/>
  <c r="L86" i="3"/>
  <c r="L99" i="3" s="1"/>
  <c r="L112" i="3" s="1"/>
  <c r="L126" i="3" s="1"/>
  <c r="M58" i="3"/>
  <c r="M71" i="3" s="1"/>
  <c r="N45" i="3"/>
  <c r="S23" i="25"/>
  <c r="N6" i="25"/>
  <c r="L4" i="37" s="1"/>
  <c r="J62" i="30" s="1"/>
  <c r="R212" i="25"/>
  <c r="K62" i="25"/>
  <c r="E101" i="25"/>
  <c r="L3" i="36"/>
  <c r="M10" i="9"/>
  <c r="N9" i="9"/>
  <c r="O9" i="9" s="1"/>
  <c r="J29" i="3"/>
  <c r="K21" i="27"/>
  <c r="P14" i="27"/>
  <c r="K94" i="27"/>
  <c r="P56" i="27"/>
  <c r="J74" i="30" l="1"/>
  <c r="K79" i="30" s="1"/>
  <c r="J67" i="30"/>
  <c r="S8" i="46"/>
  <c r="R20" i="46"/>
  <c r="P101" i="23"/>
  <c r="O119" i="23"/>
  <c r="H43" i="43" s="1"/>
  <c r="R37" i="23"/>
  <c r="Q69" i="23"/>
  <c r="T8" i="27"/>
  <c r="S27" i="27"/>
  <c r="S63" i="27"/>
  <c r="N78" i="27"/>
  <c r="O79" i="25"/>
  <c r="N90" i="25"/>
  <c r="I153" i="3"/>
  <c r="O153" i="3" s="1"/>
  <c r="R9" i="22"/>
  <c r="M74" i="22"/>
  <c r="M87" i="22" s="1"/>
  <c r="M100" i="22" s="1"/>
  <c r="M115" i="22" s="1"/>
  <c r="M128" i="22" s="1"/>
  <c r="M141" i="22" s="1"/>
  <c r="M155" i="22" s="1"/>
  <c r="J131" i="3"/>
  <c r="J153" i="3" s="1"/>
  <c r="M86" i="3"/>
  <c r="M99" i="3" s="1"/>
  <c r="M112" i="3" s="1"/>
  <c r="M126" i="3" s="1"/>
  <c r="O45" i="3"/>
  <c r="N58" i="3"/>
  <c r="N71" i="3" s="1"/>
  <c r="S212" i="25"/>
  <c r="T23" i="25"/>
  <c r="O6" i="25"/>
  <c r="M4" i="37" s="1"/>
  <c r="K62" i="30" s="1"/>
  <c r="L62" i="25"/>
  <c r="F101" i="25"/>
  <c r="M3" i="36"/>
  <c r="O10" i="9"/>
  <c r="P9" i="9"/>
  <c r="N10" i="9"/>
  <c r="L21" i="27"/>
  <c r="Q14" i="27"/>
  <c r="K29" i="3"/>
  <c r="L94" i="27"/>
  <c r="Q56" i="27"/>
  <c r="K74" i="30" l="1"/>
  <c r="L79" i="30" s="1"/>
  <c r="K67" i="30"/>
  <c r="T8" i="46"/>
  <c r="S20" i="46"/>
  <c r="Q101" i="23"/>
  <c r="P119" i="23"/>
  <c r="I43" i="43" s="1"/>
  <c r="S37" i="23"/>
  <c r="R69" i="23"/>
  <c r="U8" i="27"/>
  <c r="U27" i="27" s="1"/>
  <c r="T27" i="27"/>
  <c r="T63" i="27"/>
  <c r="O78" i="27"/>
  <c r="P79" i="25"/>
  <c r="O90" i="25"/>
  <c r="S9" i="22"/>
  <c r="N74" i="22"/>
  <c r="N87" i="22" s="1"/>
  <c r="N100" i="22" s="1"/>
  <c r="N115" i="22" s="1"/>
  <c r="N128" i="22" s="1"/>
  <c r="N141" i="22" s="1"/>
  <c r="N155" i="22" s="1"/>
  <c r="K131" i="3"/>
  <c r="K153" i="3" s="1"/>
  <c r="N86" i="3"/>
  <c r="N99" i="3" s="1"/>
  <c r="N112" i="3" s="1"/>
  <c r="N126" i="3" s="1"/>
  <c r="P45" i="3"/>
  <c r="O58" i="3"/>
  <c r="O71" i="3" s="1"/>
  <c r="U23" i="25"/>
  <c r="Q6" i="25" s="1"/>
  <c r="O4" i="37" s="1"/>
  <c r="M62" i="30" s="1"/>
  <c r="P6" i="25"/>
  <c r="N4" i="37" s="1"/>
  <c r="L62" i="30" s="1"/>
  <c r="T212" i="25"/>
  <c r="M62" i="25"/>
  <c r="G101" i="25"/>
  <c r="O3" i="36"/>
  <c r="N3" i="36"/>
  <c r="P10" i="9"/>
  <c r="Q9" i="9"/>
  <c r="M94" i="27"/>
  <c r="R56" i="27"/>
  <c r="N94" i="27" s="1"/>
  <c r="L29" i="3"/>
  <c r="M21" i="27"/>
  <c r="R14" i="27"/>
  <c r="N21" i="27" s="1"/>
  <c r="U8" i="46" l="1"/>
  <c r="U20" i="46" s="1"/>
  <c r="T20" i="46"/>
  <c r="L74" i="30"/>
  <c r="M79" i="30" s="1"/>
  <c r="L67" i="30"/>
  <c r="M74" i="30"/>
  <c r="N79" i="30" s="1"/>
  <c r="M67" i="30"/>
  <c r="R101" i="23"/>
  <c r="Q119" i="23"/>
  <c r="J43" i="43" s="1"/>
  <c r="T37" i="23"/>
  <c r="S69" i="23"/>
  <c r="U63" i="27"/>
  <c r="Q78" i="27" s="1"/>
  <c r="P78" i="27"/>
  <c r="Q79" i="25"/>
  <c r="P90" i="25"/>
  <c r="D3" i="39"/>
  <c r="D29" i="39" s="1"/>
  <c r="E3" i="39"/>
  <c r="E29" i="39" s="1"/>
  <c r="F3" i="39"/>
  <c r="F29" i="39" s="1"/>
  <c r="G3" i="39"/>
  <c r="G29" i="39" s="1"/>
  <c r="H3" i="39"/>
  <c r="H29" i="39" s="1"/>
  <c r="I3" i="39"/>
  <c r="I29" i="39" s="1"/>
  <c r="J3" i="39"/>
  <c r="T9" i="22"/>
  <c r="O74" i="22"/>
  <c r="O87" i="22" s="1"/>
  <c r="O100" i="22" s="1"/>
  <c r="O115" i="22" s="1"/>
  <c r="O128" i="22" s="1"/>
  <c r="O141" i="22" s="1"/>
  <c r="O155" i="22" s="1"/>
  <c r="L131" i="3"/>
  <c r="L153" i="3" s="1"/>
  <c r="O86" i="3"/>
  <c r="O99" i="3" s="1"/>
  <c r="O112" i="3" s="1"/>
  <c r="O126" i="3" s="1"/>
  <c r="Q45" i="3"/>
  <c r="Q58" i="3" s="1"/>
  <c r="Q71" i="3" s="1"/>
  <c r="P58" i="3"/>
  <c r="P71" i="3" s="1"/>
  <c r="N62" i="25"/>
  <c r="H101" i="25"/>
  <c r="Q10" i="9"/>
  <c r="R9" i="9"/>
  <c r="M29" i="3"/>
  <c r="C64" i="8"/>
  <c r="D5" i="7" s="1"/>
  <c r="S101" i="23" l="1"/>
  <c r="R119" i="23"/>
  <c r="K43" i="43" s="1"/>
  <c r="U37" i="23"/>
  <c r="U69" i="23" s="1"/>
  <c r="T69" i="23"/>
  <c r="R79" i="25"/>
  <c r="Q90" i="25"/>
  <c r="K3" i="39"/>
  <c r="L3" i="39" s="1"/>
  <c r="M3" i="39" s="1"/>
  <c r="N3" i="39" s="1"/>
  <c r="O3" i="39" s="1"/>
  <c r="P3" i="39" s="1"/>
  <c r="Q3" i="39" s="1"/>
  <c r="R3" i="39" s="1"/>
  <c r="S3" i="39" s="1"/>
  <c r="T3" i="39" s="1"/>
  <c r="J29" i="39"/>
  <c r="K29" i="39" s="1"/>
  <c r="L29" i="39" s="1"/>
  <c r="M29" i="39" s="1"/>
  <c r="N29" i="39" s="1"/>
  <c r="O29" i="39" s="1"/>
  <c r="P29" i="39" s="1"/>
  <c r="Q29" i="39" s="1"/>
  <c r="R29" i="39" s="1"/>
  <c r="S29" i="39" s="1"/>
  <c r="T29" i="39" s="1"/>
  <c r="U9" i="22"/>
  <c r="Q74" i="22" s="1"/>
  <c r="Q87" i="22" s="1"/>
  <c r="Q100" i="22" s="1"/>
  <c r="Q115" i="22" s="1"/>
  <c r="Q128" i="22" s="1"/>
  <c r="Q141" i="22" s="1"/>
  <c r="Q155" i="22" s="1"/>
  <c r="P74" i="22"/>
  <c r="P87" i="22" s="1"/>
  <c r="P100" i="22" s="1"/>
  <c r="P115" i="22" s="1"/>
  <c r="P128" i="22" s="1"/>
  <c r="P141" i="22" s="1"/>
  <c r="P155" i="22" s="1"/>
  <c r="M131" i="3"/>
  <c r="M153" i="3" s="1"/>
  <c r="P86" i="3"/>
  <c r="P99" i="3" s="1"/>
  <c r="P112" i="3" s="1"/>
  <c r="P126" i="3" s="1"/>
  <c r="N131" i="3"/>
  <c r="N153" i="3" s="1"/>
  <c r="P153" i="3" s="1"/>
  <c r="Q86" i="3"/>
  <c r="Q99" i="3" s="1"/>
  <c r="Q112" i="3" s="1"/>
  <c r="Q126" i="3" s="1"/>
  <c r="U212" i="25"/>
  <c r="O62" i="25"/>
  <c r="I101" i="25"/>
  <c r="R10" i="9"/>
  <c r="S9" i="9"/>
  <c r="O29" i="3"/>
  <c r="D9" i="3"/>
  <c r="T101" i="23" l="1"/>
  <c r="S119" i="23"/>
  <c r="L43" i="43" s="1"/>
  <c r="S79" i="25"/>
  <c r="R90" i="25"/>
  <c r="P131" i="3"/>
  <c r="P62" i="25"/>
  <c r="J101" i="25"/>
  <c r="S10" i="9"/>
  <c r="T9" i="9"/>
  <c r="U101" i="23" l="1"/>
  <c r="U119" i="23" s="1"/>
  <c r="N43" i="43" s="1"/>
  <c r="T119" i="23"/>
  <c r="M43" i="43" s="1"/>
  <c r="T79" i="25"/>
  <c r="S90" i="25"/>
  <c r="Q62" i="25"/>
  <c r="K101" i="25"/>
  <c r="T10" i="9"/>
  <c r="U9" i="9"/>
  <c r="V9" i="9" s="1"/>
  <c r="V10" i="9" s="1"/>
  <c r="U79" i="25" l="1"/>
  <c r="U90" i="25" s="1"/>
  <c r="T90" i="25"/>
  <c r="R62" i="25"/>
  <c r="M101" i="25" s="1"/>
  <c r="L101" i="25"/>
  <c r="D48" i="8"/>
  <c r="D64" i="8"/>
  <c r="U10" i="9"/>
  <c r="D13" i="8"/>
  <c r="D18" i="8"/>
  <c r="D4" i="8"/>
  <c r="E9" i="46" s="1"/>
  <c r="D7" i="8"/>
  <c r="D91" i="8" s="1"/>
  <c r="D9" i="8"/>
  <c r="D93" i="8" s="1"/>
  <c r="D17" i="8"/>
  <c r="D19" i="8"/>
  <c r="D26" i="8"/>
  <c r="D34" i="8"/>
  <c r="E10" i="3"/>
  <c r="D60" i="8"/>
  <c r="D62" i="8"/>
  <c r="D69" i="8"/>
  <c r="E15" i="43" s="1"/>
  <c r="D25" i="8"/>
  <c r="E10" i="46" s="1"/>
  <c r="D30" i="8"/>
  <c r="D27" i="8"/>
  <c r="D33" i="8"/>
  <c r="D35" i="8"/>
  <c r="D38" i="8"/>
  <c r="D40" i="8"/>
  <c r="E9" i="3"/>
  <c r="E11" i="3"/>
  <c r="D56" i="8"/>
  <c r="E11" i="45" s="1"/>
  <c r="E13" i="45" s="1"/>
  <c r="D57" i="8"/>
  <c r="D59" i="8"/>
  <c r="E13" i="23" s="1"/>
  <c r="D61" i="8"/>
  <c r="D68" i="8"/>
  <c r="E14" i="43" s="1"/>
  <c r="D19" i="39"/>
  <c r="D22" i="39"/>
  <c r="D77" i="8"/>
  <c r="C60" i="8"/>
  <c r="C7" i="8"/>
  <c r="C91" i="8" s="1"/>
  <c r="L91" i="8" s="1"/>
  <c r="C59" i="8"/>
  <c r="D13" i="23" s="1"/>
  <c r="C79" i="8"/>
  <c r="C34" i="8"/>
  <c r="C69" i="8"/>
  <c r="D15" i="43" s="1"/>
  <c r="C27" i="8"/>
  <c r="C33" i="8"/>
  <c r="C40" i="8"/>
  <c r="D11" i="3"/>
  <c r="D10" i="3"/>
  <c r="C4" i="8"/>
  <c r="D9" i="46" s="1"/>
  <c r="C30" i="8"/>
  <c r="C38" i="8"/>
  <c r="C19" i="8"/>
  <c r="C68" i="8"/>
  <c r="D14" i="43" s="1"/>
  <c r="C18" i="8"/>
  <c r="C9" i="8"/>
  <c r="C93" i="8" s="1"/>
  <c r="C77" i="8"/>
  <c r="D79" i="8"/>
  <c r="C13" i="8"/>
  <c r="C17" i="8"/>
  <c r="L17" i="8" s="1"/>
  <c r="C35" i="8"/>
  <c r="C57" i="8"/>
  <c r="C26" i="8"/>
  <c r="C62" i="8"/>
  <c r="C25" i="8"/>
  <c r="C56" i="8"/>
  <c r="D66" i="22" s="1"/>
  <c r="C61" i="8"/>
  <c r="D11" i="45" l="1"/>
  <c r="D13" i="45" s="1"/>
  <c r="D9" i="23"/>
  <c r="L19" i="8"/>
  <c r="L25" i="8"/>
  <c r="D10" i="46"/>
  <c r="D11" i="46" s="1"/>
  <c r="L93" i="8"/>
  <c r="L26" i="8"/>
  <c r="L13" i="8"/>
  <c r="L34" i="8"/>
  <c r="E11" i="46"/>
  <c r="D105" i="23"/>
  <c r="D11" i="23"/>
  <c r="D40" i="23" s="1"/>
  <c r="D72" i="23" s="1"/>
  <c r="D10" i="43"/>
  <c r="D19" i="43" s="1"/>
  <c r="D102" i="23"/>
  <c r="D120" i="23" s="1"/>
  <c r="D210" i="25"/>
  <c r="D106" i="23"/>
  <c r="D12" i="23"/>
  <c r="D41" i="23" s="1"/>
  <c r="D73" i="23" s="1"/>
  <c r="E67" i="22"/>
  <c r="E211" i="25"/>
  <c r="E106" i="23"/>
  <c r="E12" i="23"/>
  <c r="E41" i="23" s="1"/>
  <c r="E73" i="23" s="1"/>
  <c r="D104" i="23"/>
  <c r="D10" i="23"/>
  <c r="D39" i="23" s="1"/>
  <c r="D71" i="23" s="1"/>
  <c r="E10" i="22"/>
  <c r="E10" i="43"/>
  <c r="E19" i="43" s="1"/>
  <c r="E102" i="23"/>
  <c r="E120" i="23" s="1"/>
  <c r="E66" i="22"/>
  <c r="E210" i="25"/>
  <c r="E9" i="23"/>
  <c r="E104" i="23"/>
  <c r="E10" i="23"/>
  <c r="E39" i="23" s="1"/>
  <c r="E71" i="23" s="1"/>
  <c r="D67" i="22"/>
  <c r="D211" i="25"/>
  <c r="E105" i="23"/>
  <c r="E11" i="23"/>
  <c r="E40" i="23" s="1"/>
  <c r="E72" i="23" s="1"/>
  <c r="L18" i="8"/>
  <c r="L33" i="8"/>
  <c r="C104" i="8"/>
  <c r="L35" i="8"/>
  <c r="C99" i="8"/>
  <c r="L27" i="8"/>
  <c r="L9" i="8"/>
  <c r="C107" i="8"/>
  <c r="L38" i="8"/>
  <c r="D99" i="8"/>
  <c r="D60" i="39"/>
  <c r="E5" i="7"/>
  <c r="C102" i="8"/>
  <c r="D139" i="25" s="1"/>
  <c r="D141" i="25" s="1"/>
  <c r="L30" i="8"/>
  <c r="D21" i="7"/>
  <c r="D29" i="7" s="1"/>
  <c r="L40" i="8"/>
  <c r="L7" i="8"/>
  <c r="D107" i="8"/>
  <c r="D102" i="8"/>
  <c r="E139" i="25" s="1"/>
  <c r="E141" i="25" s="1"/>
  <c r="L48" i="8"/>
  <c r="D104" i="8"/>
  <c r="D25" i="25"/>
  <c r="D36" i="25" s="1"/>
  <c r="D47" i="25" s="1"/>
  <c r="D70" i="25" s="1"/>
  <c r="D81" i="25" s="1"/>
  <c r="D92" i="25" s="1"/>
  <c r="D10" i="22"/>
  <c r="E11" i="22"/>
  <c r="E21" i="7"/>
  <c r="E29" i="7" s="1"/>
  <c r="D22" i="8"/>
  <c r="D11" i="22"/>
  <c r="D59" i="39"/>
  <c r="D12" i="8"/>
  <c r="C22" i="8"/>
  <c r="C12" i="8"/>
  <c r="D34" i="39"/>
  <c r="D25" i="39"/>
  <c r="D17" i="39"/>
  <c r="D23" i="39"/>
  <c r="D20" i="39"/>
  <c r="D5" i="39"/>
  <c r="D36" i="39" s="1"/>
  <c r="E25" i="25"/>
  <c r="E36" i="25" s="1"/>
  <c r="E47" i="25" s="1"/>
  <c r="E70" i="25" s="1"/>
  <c r="E81" i="25" s="1"/>
  <c r="E92" i="25" s="1"/>
  <c r="D47" i="39"/>
  <c r="E59" i="39"/>
  <c r="D50" i="39"/>
  <c r="D51" i="27"/>
  <c r="D53" i="27" s="1"/>
  <c r="D32" i="8"/>
  <c r="C32" i="8"/>
  <c r="E51" i="27"/>
  <c r="E53" i="27" s="1"/>
  <c r="D35" i="25"/>
  <c r="D24" i="25"/>
  <c r="E35" i="25"/>
  <c r="D69" i="25"/>
  <c r="E69" i="25"/>
  <c r="E24" i="25"/>
  <c r="C67" i="8"/>
  <c r="D73" i="8"/>
  <c r="C44" i="26"/>
  <c r="D44" i="26"/>
  <c r="D67" i="8"/>
  <c r="D18" i="39"/>
  <c r="E10" i="27"/>
  <c r="E64" i="27"/>
  <c r="E66" i="27" s="1"/>
  <c r="D10" i="27"/>
  <c r="D64" i="27"/>
  <c r="D66" i="27" s="1"/>
  <c r="D38" i="23"/>
  <c r="D21" i="26"/>
  <c r="D22" i="26" s="1"/>
  <c r="D17" i="26"/>
  <c r="D18" i="26" s="1"/>
  <c r="D34" i="26"/>
  <c r="D19" i="26"/>
  <c r="D20" i="26" s="1"/>
  <c r="D16" i="26"/>
  <c r="D13" i="26"/>
  <c r="C58" i="8"/>
  <c r="C12" i="26"/>
  <c r="C8" i="26"/>
  <c r="C9" i="26"/>
  <c r="D12" i="26"/>
  <c r="D9" i="26"/>
  <c r="D8" i="26"/>
  <c r="C13" i="26"/>
  <c r="C42" i="8"/>
  <c r="C73" i="8"/>
  <c r="C42" i="26"/>
  <c r="C23" i="8"/>
  <c r="E18" i="3"/>
  <c r="E12" i="3"/>
  <c r="D42" i="26"/>
  <c r="D23" i="8"/>
  <c r="C41" i="8"/>
  <c r="D58" i="8"/>
  <c r="D41" i="8"/>
  <c r="D12" i="3"/>
  <c r="E16" i="3"/>
  <c r="E23" i="3" s="1"/>
  <c r="E17" i="3"/>
  <c r="E24" i="3" s="1"/>
  <c r="D42" i="8"/>
  <c r="D18" i="43" l="1"/>
  <c r="E18" i="43"/>
  <c r="D68" i="22"/>
  <c r="E123" i="23"/>
  <c r="E126" i="23" s="1"/>
  <c r="E108" i="23"/>
  <c r="E122" i="23"/>
  <c r="E125" i="23" s="1"/>
  <c r="E103" i="23"/>
  <c r="E121" i="23" s="1"/>
  <c r="E107" i="23"/>
  <c r="E124" i="23"/>
  <c r="E127" i="23" s="1"/>
  <c r="E109" i="23"/>
  <c r="D122" i="23"/>
  <c r="D125" i="23" s="1"/>
  <c r="D107" i="23"/>
  <c r="D103" i="23"/>
  <c r="D121" i="23" s="1"/>
  <c r="D124" i="23"/>
  <c r="D127" i="23" s="1"/>
  <c r="D109" i="23"/>
  <c r="E68" i="22"/>
  <c r="D123" i="23"/>
  <c r="D126" i="23" s="1"/>
  <c r="D108" i="23"/>
  <c r="D44" i="23"/>
  <c r="D70" i="23"/>
  <c r="E11" i="27"/>
  <c r="E29" i="27"/>
  <c r="E30" i="27" s="1"/>
  <c r="D11" i="27"/>
  <c r="D29" i="27"/>
  <c r="D30" i="27" s="1"/>
  <c r="C110" i="8"/>
  <c r="D184" i="25"/>
  <c r="D186" i="25" s="1"/>
  <c r="D216" i="25"/>
  <c r="D219" i="25"/>
  <c r="D91" i="25"/>
  <c r="D57" i="25"/>
  <c r="C54" i="41"/>
  <c r="E219" i="25"/>
  <c r="E216" i="25"/>
  <c r="E184" i="25"/>
  <c r="E186" i="25" s="1"/>
  <c r="E91" i="25"/>
  <c r="E57" i="25"/>
  <c r="D54" i="41"/>
  <c r="D37" i="25"/>
  <c r="L92" i="8"/>
  <c r="D26" i="25"/>
  <c r="L94" i="8"/>
  <c r="L99" i="8"/>
  <c r="L107" i="8"/>
  <c r="C109" i="8"/>
  <c r="L41" i="8"/>
  <c r="C49" i="8"/>
  <c r="L42" i="8"/>
  <c r="L32" i="8"/>
  <c r="L22" i="8"/>
  <c r="D14" i="26"/>
  <c r="L102" i="8"/>
  <c r="L104" i="8"/>
  <c r="L12" i="8"/>
  <c r="L4" i="8" s="1"/>
  <c r="C14" i="26"/>
  <c r="L23" i="8"/>
  <c r="D109" i="8"/>
  <c r="D110" i="8"/>
  <c r="L110" i="8" s="1"/>
  <c r="C43" i="26"/>
  <c r="C103" i="8"/>
  <c r="D43" i="26"/>
  <c r="D103" i="8"/>
  <c r="E26" i="25"/>
  <c r="E71" i="25"/>
  <c r="D21" i="39"/>
  <c r="D68" i="39" s="1"/>
  <c r="D65" i="39"/>
  <c r="D4" i="39"/>
  <c r="D30" i="39" s="1"/>
  <c r="E37" i="25"/>
  <c r="D71" i="25"/>
  <c r="D41" i="26"/>
  <c r="E46" i="25"/>
  <c r="E48" i="25" s="1"/>
  <c r="D45" i="26"/>
  <c r="C45" i="26"/>
  <c r="D82" i="25"/>
  <c r="E82" i="25"/>
  <c r="C41" i="26"/>
  <c r="D46" i="25"/>
  <c r="D48" i="25" s="1"/>
  <c r="D42" i="23"/>
  <c r="C84" i="8"/>
  <c r="D12" i="22"/>
  <c r="D14" i="23"/>
  <c r="D43" i="23"/>
  <c r="E12" i="22"/>
  <c r="D39" i="39"/>
  <c r="D41" i="39" s="1"/>
  <c r="E14" i="23"/>
  <c r="E38" i="23"/>
  <c r="E70" i="23" s="1"/>
  <c r="C63" i="8"/>
  <c r="C31" i="26"/>
  <c r="D24" i="26"/>
  <c r="D63" i="8"/>
  <c r="E4" i="7" s="1"/>
  <c r="E6" i="7" s="1"/>
  <c r="D31" i="26"/>
  <c r="D23" i="26"/>
  <c r="D49" i="8"/>
  <c r="D38" i="26"/>
  <c r="D11" i="26"/>
  <c r="C11" i="26"/>
  <c r="E19" i="3"/>
  <c r="D76" i="23" l="1"/>
  <c r="D75" i="23"/>
  <c r="D74" i="23"/>
  <c r="E128" i="23"/>
  <c r="D128" i="23"/>
  <c r="C74" i="41"/>
  <c r="C75" i="41" s="1"/>
  <c r="C64" i="41"/>
  <c r="C65" i="41" s="1"/>
  <c r="C55" i="41"/>
  <c r="D64" i="41"/>
  <c r="D65" i="41" s="1"/>
  <c r="D74" i="41"/>
  <c r="D75" i="41" s="1"/>
  <c r="D55" i="41"/>
  <c r="L96" i="8"/>
  <c r="L49" i="8"/>
  <c r="L51" i="8" s="1"/>
  <c r="C111" i="8"/>
  <c r="L109" i="8"/>
  <c r="D39" i="26"/>
  <c r="L103" i="8"/>
  <c r="C76" i="8"/>
  <c r="C78" i="8" s="1"/>
  <c r="D46" i="26" s="1"/>
  <c r="D4" i="7"/>
  <c r="D6" i="7" s="1"/>
  <c r="D16" i="7" s="1"/>
  <c r="D17" i="7" s="1"/>
  <c r="D31" i="39"/>
  <c r="D48" i="39" s="1"/>
  <c r="D27" i="26"/>
  <c r="D76" i="8"/>
  <c r="D78" i="8" s="1"/>
  <c r="E46" i="26" s="1"/>
  <c r="E16" i="7"/>
  <c r="E17" i="7" s="1"/>
  <c r="D6" i="39"/>
  <c r="D16" i="39" s="1"/>
  <c r="D24" i="39"/>
  <c r="D62" i="39" s="1"/>
  <c r="D69" i="39" s="1"/>
  <c r="D70" i="39" s="1"/>
  <c r="E93" i="25"/>
  <c r="E58" i="25"/>
  <c r="E59" i="25" s="1"/>
  <c r="D93" i="25"/>
  <c r="D58" i="25"/>
  <c r="D59" i="25" s="1"/>
  <c r="D65" i="8"/>
  <c r="D30" i="26" s="1"/>
  <c r="D84" i="8"/>
  <c r="E64" i="8"/>
  <c r="E19" i="8"/>
  <c r="E25" i="8"/>
  <c r="F10" i="46" s="1"/>
  <c r="E59" i="8"/>
  <c r="F13" i="23" s="1"/>
  <c r="E13" i="8"/>
  <c r="E48" i="8"/>
  <c r="E77" i="8"/>
  <c r="E26" i="8"/>
  <c r="E56" i="8"/>
  <c r="F11" i="45" s="1"/>
  <c r="F13" i="45" s="1"/>
  <c r="E18" i="8"/>
  <c r="F10" i="3"/>
  <c r="E57" i="8"/>
  <c r="E30" i="8"/>
  <c r="E62" i="8"/>
  <c r="F11" i="3"/>
  <c r="F18" i="3" s="1"/>
  <c r="F25" i="3" s="1"/>
  <c r="E9" i="8"/>
  <c r="E93" i="8" s="1"/>
  <c r="E35" i="8"/>
  <c r="E61" i="8"/>
  <c r="E4" i="8"/>
  <c r="F9" i="46" s="1"/>
  <c r="F11" i="46" s="1"/>
  <c r="E27" i="8"/>
  <c r="F9" i="3"/>
  <c r="E34" i="8"/>
  <c r="E33" i="8"/>
  <c r="E79" i="8"/>
  <c r="E38" i="8"/>
  <c r="E68" i="8"/>
  <c r="F14" i="43" s="1"/>
  <c r="E19" i="39"/>
  <c r="E7" i="8"/>
  <c r="E91" i="8" s="1"/>
  <c r="E69" i="8"/>
  <c r="F15" i="43" s="1"/>
  <c r="E60" i="8"/>
  <c r="E34" i="39"/>
  <c r="E40" i="8"/>
  <c r="E17" i="8"/>
  <c r="E22" i="39"/>
  <c r="C29" i="26"/>
  <c r="C65" i="8"/>
  <c r="C30" i="26" s="1"/>
  <c r="D26" i="26"/>
  <c r="D35" i="26"/>
  <c r="D29" i="26"/>
  <c r="E43" i="23"/>
  <c r="E75" i="23" s="1"/>
  <c r="E44" i="23"/>
  <c r="E76" i="23" s="1"/>
  <c r="E42" i="23"/>
  <c r="E74" i="23" s="1"/>
  <c r="D26" i="39"/>
  <c r="F104" i="23" l="1"/>
  <c r="F10" i="23"/>
  <c r="F39" i="23" s="1"/>
  <c r="F71" i="23" s="1"/>
  <c r="F10" i="22"/>
  <c r="F10" i="43"/>
  <c r="F19" i="43" s="1"/>
  <c r="F102" i="23"/>
  <c r="F120" i="23" s="1"/>
  <c r="F66" i="22"/>
  <c r="F210" i="25"/>
  <c r="F9" i="23"/>
  <c r="F38" i="23" s="1"/>
  <c r="F70" i="23" s="1"/>
  <c r="M93" i="8"/>
  <c r="F11" i="22"/>
  <c r="F67" i="22"/>
  <c r="F211" i="25"/>
  <c r="M91" i="8"/>
  <c r="F105" i="23"/>
  <c r="F11" i="23"/>
  <c r="F40" i="23" s="1"/>
  <c r="F72" i="23" s="1"/>
  <c r="F106" i="23"/>
  <c r="F12" i="23"/>
  <c r="F41" i="23" s="1"/>
  <c r="F73" i="23" s="1"/>
  <c r="M17" i="8"/>
  <c r="M26" i="8"/>
  <c r="M40" i="8"/>
  <c r="E107" i="8"/>
  <c r="M38" i="8"/>
  <c r="E104" i="8"/>
  <c r="M35" i="8"/>
  <c r="M48" i="8"/>
  <c r="M7" i="8"/>
  <c r="E99" i="8"/>
  <c r="M27" i="8"/>
  <c r="E60" i="39"/>
  <c r="M18" i="8"/>
  <c r="M25" i="8"/>
  <c r="M33" i="8"/>
  <c r="M9" i="8"/>
  <c r="E102" i="8"/>
  <c r="F139" i="25" s="1"/>
  <c r="F141" i="25" s="1"/>
  <c r="M30" i="8"/>
  <c r="M13" i="8"/>
  <c r="M19" i="8"/>
  <c r="M34" i="8"/>
  <c r="F5" i="7"/>
  <c r="D32" i="39"/>
  <c r="D35" i="39" s="1"/>
  <c r="D37" i="39" s="1"/>
  <c r="D43" i="39" s="1"/>
  <c r="F21" i="7"/>
  <c r="F29" i="7" s="1"/>
  <c r="E12" i="8"/>
  <c r="E22" i="8"/>
  <c r="E20" i="39"/>
  <c r="E23" i="39"/>
  <c r="E17" i="39"/>
  <c r="E5" i="39"/>
  <c r="E36" i="39" s="1"/>
  <c r="E25" i="39"/>
  <c r="F25" i="25"/>
  <c r="F36" i="25" s="1"/>
  <c r="F47" i="25" s="1"/>
  <c r="F70" i="25" s="1"/>
  <c r="F81" i="25" s="1"/>
  <c r="F92" i="25" s="1"/>
  <c r="E47" i="39"/>
  <c r="F59" i="39"/>
  <c r="E50" i="39"/>
  <c r="E44" i="26"/>
  <c r="F51" i="27"/>
  <c r="F53" i="27" s="1"/>
  <c r="E32" i="8"/>
  <c r="E42" i="8"/>
  <c r="F69" i="25"/>
  <c r="F24" i="25"/>
  <c r="F35" i="25"/>
  <c r="D80" i="8"/>
  <c r="D28" i="26"/>
  <c r="D32" i="26"/>
  <c r="E73" i="8"/>
  <c r="D37" i="26"/>
  <c r="D36" i="26"/>
  <c r="E18" i="39"/>
  <c r="E9" i="26"/>
  <c r="E8" i="26"/>
  <c r="F17" i="3"/>
  <c r="F24" i="3" s="1"/>
  <c r="F10" i="27"/>
  <c r="E19" i="26"/>
  <c r="E20" i="26" s="1"/>
  <c r="F64" i="27"/>
  <c r="F66" i="27" s="1"/>
  <c r="E34" i="26"/>
  <c r="E16" i="26"/>
  <c r="E58" i="8"/>
  <c r="E41" i="8"/>
  <c r="F16" i="3"/>
  <c r="F23" i="3" s="1"/>
  <c r="F12" i="3"/>
  <c r="E21" i="26"/>
  <c r="E22" i="26" s="1"/>
  <c r="E17" i="26"/>
  <c r="E18" i="26" s="1"/>
  <c r="E4" i="39"/>
  <c r="E30" i="39" s="1"/>
  <c r="E23" i="8"/>
  <c r="E12" i="26"/>
  <c r="E67" i="8"/>
  <c r="E13" i="26"/>
  <c r="C80" i="8"/>
  <c r="C85" i="8" s="1"/>
  <c r="C32" i="26"/>
  <c r="F18" i="43" l="1"/>
  <c r="F68" i="22"/>
  <c r="F124" i="23"/>
  <c r="F127" i="23" s="1"/>
  <c r="F109" i="23"/>
  <c r="F123" i="23"/>
  <c r="F126" i="23" s="1"/>
  <c r="F108" i="23"/>
  <c r="F122" i="23"/>
  <c r="F125" i="23" s="1"/>
  <c r="F107" i="23"/>
  <c r="F103" i="23"/>
  <c r="F121" i="23" s="1"/>
  <c r="F11" i="27"/>
  <c r="F29" i="27"/>
  <c r="F30" i="27" s="1"/>
  <c r="F216" i="25"/>
  <c r="F219" i="25"/>
  <c r="F184" i="25"/>
  <c r="F186" i="25" s="1"/>
  <c r="F91" i="25"/>
  <c r="F57" i="25"/>
  <c r="E54" i="41"/>
  <c r="E109" i="8"/>
  <c r="M41" i="8"/>
  <c r="E38" i="26"/>
  <c r="M42" i="8"/>
  <c r="M94" i="8"/>
  <c r="D85" i="8"/>
  <c r="M32" i="8"/>
  <c r="M102" i="8"/>
  <c r="M92" i="8"/>
  <c r="M99" i="8"/>
  <c r="M107" i="8"/>
  <c r="M22" i="8"/>
  <c r="M104" i="8"/>
  <c r="E14" i="26"/>
  <c r="M23" i="8"/>
  <c r="M12" i="8"/>
  <c r="M4" i="8" s="1"/>
  <c r="D111" i="8"/>
  <c r="E110" i="8"/>
  <c r="E43" i="26"/>
  <c r="E103" i="8"/>
  <c r="E42" i="26"/>
  <c r="F26" i="25"/>
  <c r="F37" i="25"/>
  <c r="E21" i="39"/>
  <c r="E68" i="39" s="1"/>
  <c r="E65" i="39"/>
  <c r="E49" i="8"/>
  <c r="E11" i="26"/>
  <c r="F71" i="25"/>
  <c r="E41" i="26"/>
  <c r="F46" i="25"/>
  <c r="F48" i="25" s="1"/>
  <c r="E45" i="26"/>
  <c r="F82" i="25"/>
  <c r="F44" i="23"/>
  <c r="F76" i="23" s="1"/>
  <c r="F42" i="23"/>
  <c r="F74" i="23" s="1"/>
  <c r="E24" i="39"/>
  <c r="H39" i="39"/>
  <c r="H41" i="39" s="1"/>
  <c r="F14" i="23"/>
  <c r="E23" i="26"/>
  <c r="F43" i="23"/>
  <c r="F75" i="23" s="1"/>
  <c r="E24" i="26"/>
  <c r="F19" i="3"/>
  <c r="F26" i="3" s="1"/>
  <c r="E63" i="8"/>
  <c r="E31" i="26"/>
  <c r="F12" i="22"/>
  <c r="F128" i="23" l="1"/>
  <c r="E64" i="41"/>
  <c r="E65" i="41" s="1"/>
  <c r="E74" i="41"/>
  <c r="E75" i="41" s="1"/>
  <c r="E55" i="41"/>
  <c r="M110" i="8"/>
  <c r="M96" i="8"/>
  <c r="M109" i="8"/>
  <c r="L111" i="8"/>
  <c r="M103" i="8"/>
  <c r="E39" i="26"/>
  <c r="M49" i="8"/>
  <c r="M51" i="8" s="1"/>
  <c r="E76" i="8"/>
  <c r="E78" i="8" s="1"/>
  <c r="F46" i="26" s="1"/>
  <c r="F4" i="7"/>
  <c r="F6" i="7" s="1"/>
  <c r="F16" i="7" s="1"/>
  <c r="F17" i="7" s="1"/>
  <c r="E31" i="39"/>
  <c r="E62" i="39"/>
  <c r="E69" i="39" s="1"/>
  <c r="E70" i="39" s="1"/>
  <c r="E6" i="39"/>
  <c r="E16" i="39" s="1"/>
  <c r="E84" i="8"/>
  <c r="F93" i="25"/>
  <c r="F58" i="25"/>
  <c r="F59" i="25" s="1"/>
  <c r="E27" i="26"/>
  <c r="E65" i="8"/>
  <c r="E35" i="26"/>
  <c r="E29" i="26"/>
  <c r="E26" i="26"/>
  <c r="I39" i="39"/>
  <c r="I41" i="39" s="1"/>
  <c r="E26" i="39"/>
  <c r="E32" i="39" l="1"/>
  <c r="E35" i="39" s="1"/>
  <c r="E37" i="39" s="1"/>
  <c r="E43" i="39" s="1"/>
  <c r="E48" i="39"/>
  <c r="F64" i="8"/>
  <c r="F79" i="8"/>
  <c r="F17" i="8"/>
  <c r="F7" i="8"/>
  <c r="F91" i="8" s="1"/>
  <c r="F22" i="39"/>
  <c r="F26" i="8"/>
  <c r="F34" i="8"/>
  <c r="F30" i="8"/>
  <c r="G11" i="3"/>
  <c r="F77" i="8"/>
  <c r="F27" i="8"/>
  <c r="F18" i="8"/>
  <c r="G10" i="3"/>
  <c r="F61" i="8"/>
  <c r="F19" i="8"/>
  <c r="F57" i="8"/>
  <c r="F62" i="8"/>
  <c r="F40" i="8"/>
  <c r="F34" i="39"/>
  <c r="F9" i="8"/>
  <c r="F93" i="8" s="1"/>
  <c r="F13" i="8"/>
  <c r="F35" i="8"/>
  <c r="F56" i="8"/>
  <c r="G11" i="45" s="1"/>
  <c r="G13" i="45" s="1"/>
  <c r="F48" i="8"/>
  <c r="F60" i="8"/>
  <c r="F38" i="8"/>
  <c r="F19" i="39"/>
  <c r="F68" i="8"/>
  <c r="G14" i="43" s="1"/>
  <c r="F4" i="8"/>
  <c r="G9" i="46" s="1"/>
  <c r="F33" i="8"/>
  <c r="G9" i="3"/>
  <c r="F69" i="8"/>
  <c r="G15" i="43" s="1"/>
  <c r="F59" i="8"/>
  <c r="G13" i="23" s="1"/>
  <c r="F25" i="8"/>
  <c r="G10" i="46" s="1"/>
  <c r="J39" i="39"/>
  <c r="J41" i="39" s="1"/>
  <c r="E36" i="26"/>
  <c r="E30" i="26"/>
  <c r="E37" i="26"/>
  <c r="E80" i="8"/>
  <c r="E32" i="26"/>
  <c r="E28" i="26"/>
  <c r="G11" i="46" l="1"/>
  <c r="G104" i="23"/>
  <c r="G10" i="23"/>
  <c r="G39" i="23" s="1"/>
  <c r="G71" i="23" s="1"/>
  <c r="G106" i="23"/>
  <c r="G12" i="23"/>
  <c r="G41" i="23" s="1"/>
  <c r="G73" i="23" s="1"/>
  <c r="N91" i="8"/>
  <c r="N93" i="8"/>
  <c r="G11" i="22"/>
  <c r="G67" i="22"/>
  <c r="G211" i="25"/>
  <c r="G10" i="22"/>
  <c r="G10" i="43"/>
  <c r="G18" i="43" s="1"/>
  <c r="G102" i="23"/>
  <c r="G120" i="23" s="1"/>
  <c r="G66" i="22"/>
  <c r="G210" i="25"/>
  <c r="G9" i="23"/>
  <c r="G105" i="23"/>
  <c r="G11" i="23"/>
  <c r="G40" i="23" s="1"/>
  <c r="G72" i="23" s="1"/>
  <c r="N13" i="8"/>
  <c r="N34" i="8"/>
  <c r="N17" i="8"/>
  <c r="N25" i="8"/>
  <c r="N48" i="8"/>
  <c r="N9" i="8"/>
  <c r="N26" i="8"/>
  <c r="E85" i="8"/>
  <c r="G5" i="7"/>
  <c r="N33" i="8"/>
  <c r="F107" i="8"/>
  <c r="N38" i="8"/>
  <c r="F104" i="8"/>
  <c r="N35" i="8"/>
  <c r="N40" i="8"/>
  <c r="N19" i="8"/>
  <c r="F60" i="39"/>
  <c r="N18" i="8"/>
  <c r="F102" i="8"/>
  <c r="G139" i="25" s="1"/>
  <c r="G141" i="25" s="1"/>
  <c r="N30" i="8"/>
  <c r="N7" i="8"/>
  <c r="F99" i="8"/>
  <c r="N27" i="8"/>
  <c r="F12" i="8"/>
  <c r="G21" i="7"/>
  <c r="G29" i="7" s="1"/>
  <c r="F22" i="8"/>
  <c r="F42" i="26" s="1"/>
  <c r="F5" i="39"/>
  <c r="F36" i="39" s="1"/>
  <c r="F25" i="39"/>
  <c r="F20" i="39"/>
  <c r="F17" i="39"/>
  <c r="F23" i="39"/>
  <c r="G25" i="25"/>
  <c r="G36" i="25" s="1"/>
  <c r="G47" i="25" s="1"/>
  <c r="G70" i="25" s="1"/>
  <c r="G81" i="25" s="1"/>
  <c r="G92" i="25" s="1"/>
  <c r="F47" i="39"/>
  <c r="F50" i="39"/>
  <c r="G59" i="39"/>
  <c r="G51" i="27"/>
  <c r="G53" i="27" s="1"/>
  <c r="F32" i="8"/>
  <c r="G35" i="25"/>
  <c r="G69" i="25"/>
  <c r="G24" i="25"/>
  <c r="F44" i="26"/>
  <c r="F41" i="8"/>
  <c r="G12" i="3"/>
  <c r="G16" i="3"/>
  <c r="G23" i="3" s="1"/>
  <c r="F18" i="39"/>
  <c r="G38" i="23"/>
  <c r="G70" i="23" s="1"/>
  <c r="F4" i="39"/>
  <c r="F30" i="39" s="1"/>
  <c r="F23" i="8"/>
  <c r="G17" i="3"/>
  <c r="G24" i="3" s="1"/>
  <c r="F42" i="8"/>
  <c r="F12" i="26"/>
  <c r="F9" i="26"/>
  <c r="F8" i="26"/>
  <c r="G10" i="27"/>
  <c r="F19" i="26"/>
  <c r="F20" i="26" s="1"/>
  <c r="G64" i="27"/>
  <c r="G66" i="27" s="1"/>
  <c r="F34" i="26"/>
  <c r="F16" i="26"/>
  <c r="F58" i="8"/>
  <c r="F21" i="26"/>
  <c r="F22" i="26" s="1"/>
  <c r="F17" i="26"/>
  <c r="F18" i="26" s="1"/>
  <c r="G18" i="3"/>
  <c r="G25" i="3" s="1"/>
  <c r="F67" i="8"/>
  <c r="F13" i="26"/>
  <c r="F73" i="8"/>
  <c r="G123" i="23" l="1"/>
  <c r="G126" i="23" s="1"/>
  <c r="G108" i="23"/>
  <c r="G68" i="22"/>
  <c r="G124" i="23"/>
  <c r="G127" i="23" s="1"/>
  <c r="G109" i="23"/>
  <c r="G19" i="43"/>
  <c r="G122" i="23"/>
  <c r="G125" i="23" s="1"/>
  <c r="G107" i="23"/>
  <c r="G103" i="23"/>
  <c r="G121" i="23" s="1"/>
  <c r="G11" i="27"/>
  <c r="G29" i="27"/>
  <c r="G30" i="27" s="1"/>
  <c r="G219" i="25"/>
  <c r="G216" i="25"/>
  <c r="G184" i="25"/>
  <c r="G186" i="25" s="1"/>
  <c r="G91" i="25"/>
  <c r="G57" i="25"/>
  <c r="F54" i="41"/>
  <c r="F14" i="26"/>
  <c r="N23" i="8"/>
  <c r="F11" i="26"/>
  <c r="N42" i="8"/>
  <c r="N12" i="8"/>
  <c r="N4" i="8" s="1"/>
  <c r="F109" i="8"/>
  <c r="N41" i="8"/>
  <c r="N102" i="8"/>
  <c r="N94" i="8"/>
  <c r="N22" i="8"/>
  <c r="N92" i="8"/>
  <c r="N107" i="8"/>
  <c r="N32" i="8"/>
  <c r="N99" i="8"/>
  <c r="N104" i="8"/>
  <c r="E111" i="8"/>
  <c r="F110" i="8"/>
  <c r="F103" i="8"/>
  <c r="G26" i="25"/>
  <c r="G37" i="25"/>
  <c r="F21" i="39"/>
  <c r="F68" i="39" s="1"/>
  <c r="F65" i="39"/>
  <c r="F43" i="26"/>
  <c r="F41" i="26"/>
  <c r="G46" i="25"/>
  <c r="G48" i="25" s="1"/>
  <c r="G71" i="25"/>
  <c r="F45" i="26"/>
  <c r="G82" i="25"/>
  <c r="G44" i="23"/>
  <c r="G76" i="23" s="1"/>
  <c r="G43" i="23"/>
  <c r="G75" i="23" s="1"/>
  <c r="G14" i="23"/>
  <c r="G42" i="23"/>
  <c r="G74" i="23" s="1"/>
  <c r="F24" i="26"/>
  <c r="G12" i="22"/>
  <c r="F23" i="26"/>
  <c r="F63" i="8"/>
  <c r="F31" i="26"/>
  <c r="F49" i="8"/>
  <c r="F38" i="26"/>
  <c r="F24" i="39"/>
  <c r="G19" i="3"/>
  <c r="G26" i="3" s="1"/>
  <c r="G128" i="23" l="1"/>
  <c r="F64" i="41"/>
  <c r="F65" i="41" s="1"/>
  <c r="F74" i="41"/>
  <c r="F75" i="41" s="1"/>
  <c r="F55" i="41"/>
  <c r="F62" i="39"/>
  <c r="F69" i="39" s="1"/>
  <c r="N110" i="8"/>
  <c r="N96" i="8"/>
  <c r="M111" i="8"/>
  <c r="N109" i="8"/>
  <c r="F39" i="26"/>
  <c r="N49" i="8"/>
  <c r="N51" i="8" s="1"/>
  <c r="N103" i="8"/>
  <c r="F76" i="8"/>
  <c r="F78" i="8" s="1"/>
  <c r="G46" i="26" s="1"/>
  <c r="G4" i="7"/>
  <c r="G6" i="7" s="1"/>
  <c r="G16" i="7" s="1"/>
  <c r="G17" i="7" s="1"/>
  <c r="F31" i="39"/>
  <c r="F48" i="39" s="1"/>
  <c r="F6" i="39"/>
  <c r="F16" i="39" s="1"/>
  <c r="F70" i="39"/>
  <c r="G93" i="25"/>
  <c r="G58" i="25"/>
  <c r="G59" i="25" s="1"/>
  <c r="F26" i="39"/>
  <c r="F27" i="26"/>
  <c r="F65" i="8"/>
  <c r="F29" i="26"/>
  <c r="F26" i="26"/>
  <c r="F35" i="26"/>
  <c r="F84" i="8"/>
  <c r="F32" i="39" l="1"/>
  <c r="F35" i="39" s="1"/>
  <c r="F37" i="39" s="1"/>
  <c r="F43" i="39" s="1"/>
  <c r="G64" i="8"/>
  <c r="G9" i="8"/>
  <c r="G93" i="8" s="1"/>
  <c r="G35" i="8"/>
  <c r="G61" i="8"/>
  <c r="G19" i="8"/>
  <c r="G57" i="8"/>
  <c r="G34" i="8"/>
  <c r="G27" i="8"/>
  <c r="H9" i="3"/>
  <c r="G25" i="8"/>
  <c r="H10" i="46" s="1"/>
  <c r="G38" i="8"/>
  <c r="G19" i="39"/>
  <c r="G68" i="8"/>
  <c r="H14" i="43" s="1"/>
  <c r="G17" i="8"/>
  <c r="G77" i="8"/>
  <c r="G33" i="8"/>
  <c r="G60" i="8"/>
  <c r="G18" i="8"/>
  <c r="H11" i="3"/>
  <c r="G79" i="8"/>
  <c r="G13" i="8"/>
  <c r="G48" i="8"/>
  <c r="G59" i="8"/>
  <c r="H13" i="23" s="1"/>
  <c r="G4" i="8"/>
  <c r="H9" i="46" s="1"/>
  <c r="G62" i="8"/>
  <c r="G56" i="8"/>
  <c r="H11" i="45" s="1"/>
  <c r="H13" i="45" s="1"/>
  <c r="G22" i="39"/>
  <c r="G30" i="8"/>
  <c r="G40" i="8"/>
  <c r="G34" i="39"/>
  <c r="H10" i="3"/>
  <c r="G69" i="8"/>
  <c r="H15" i="43" s="1"/>
  <c r="G26" i="8"/>
  <c r="G7" i="8"/>
  <c r="G91" i="8" s="1"/>
  <c r="F30" i="26"/>
  <c r="F36" i="26"/>
  <c r="F37" i="26"/>
  <c r="F80" i="8"/>
  <c r="F32" i="26"/>
  <c r="F28" i="26"/>
  <c r="H11" i="46" l="1"/>
  <c r="O91" i="8"/>
  <c r="H10" i="22"/>
  <c r="H10" i="43"/>
  <c r="H18" i="43" s="1"/>
  <c r="H102" i="23"/>
  <c r="H120" i="23" s="1"/>
  <c r="H66" i="22"/>
  <c r="H210" i="25"/>
  <c r="H9" i="23"/>
  <c r="H38" i="23" s="1"/>
  <c r="H70" i="23" s="1"/>
  <c r="H11" i="22"/>
  <c r="H67" i="22"/>
  <c r="H211" i="25"/>
  <c r="O93" i="8"/>
  <c r="H106" i="23"/>
  <c r="H12" i="23"/>
  <c r="H41" i="23" s="1"/>
  <c r="H73" i="23" s="1"/>
  <c r="H104" i="23"/>
  <c r="H10" i="23"/>
  <c r="H39" i="23" s="1"/>
  <c r="H71" i="23" s="1"/>
  <c r="H105" i="23"/>
  <c r="H11" i="23"/>
  <c r="H40" i="23" s="1"/>
  <c r="H72" i="23" s="1"/>
  <c r="O25" i="8"/>
  <c r="F85" i="8"/>
  <c r="O7" i="8"/>
  <c r="O19" i="8"/>
  <c r="O9" i="8"/>
  <c r="O13" i="8"/>
  <c r="G104" i="8"/>
  <c r="O35" i="8"/>
  <c r="O26" i="8"/>
  <c r="O40" i="8"/>
  <c r="O33" i="8"/>
  <c r="G99" i="8"/>
  <c r="O27" i="8"/>
  <c r="H5" i="7"/>
  <c r="O17" i="8"/>
  <c r="G102" i="8"/>
  <c r="H139" i="25" s="1"/>
  <c r="H141" i="25" s="1"/>
  <c r="O30" i="8"/>
  <c r="O48" i="8"/>
  <c r="G60" i="39"/>
  <c r="O18" i="8"/>
  <c r="G107" i="8"/>
  <c r="O38" i="8"/>
  <c r="O34" i="8"/>
  <c r="G12" i="8"/>
  <c r="G22" i="8"/>
  <c r="H21" i="7"/>
  <c r="H29" i="7" s="1"/>
  <c r="G25" i="39"/>
  <c r="G20" i="39"/>
  <c r="G23" i="39"/>
  <c r="G17" i="39"/>
  <c r="G5" i="39"/>
  <c r="G36" i="39" s="1"/>
  <c r="H59" i="39"/>
  <c r="G50" i="39"/>
  <c r="H25" i="25"/>
  <c r="H36" i="25" s="1"/>
  <c r="H47" i="25" s="1"/>
  <c r="H70" i="25" s="1"/>
  <c r="H81" i="25" s="1"/>
  <c r="H92" i="25" s="1"/>
  <c r="G47" i="39"/>
  <c r="H51" i="27"/>
  <c r="H53" i="27" s="1"/>
  <c r="G32" i="8"/>
  <c r="H69" i="25"/>
  <c r="H35" i="25"/>
  <c r="H24" i="25"/>
  <c r="G44" i="26"/>
  <c r="G42" i="8"/>
  <c r="G13" i="26"/>
  <c r="G73" i="8"/>
  <c r="H17" i="3"/>
  <c r="H24" i="3" s="1"/>
  <c r="G4" i="39"/>
  <c r="G30" i="39" s="1"/>
  <c r="G8" i="26"/>
  <c r="G9" i="26"/>
  <c r="G23" i="8"/>
  <c r="H18" i="3"/>
  <c r="H25" i="3" s="1"/>
  <c r="G18" i="39"/>
  <c r="H12" i="3"/>
  <c r="H16" i="3"/>
  <c r="H23" i="3" s="1"/>
  <c r="G41" i="8"/>
  <c r="H10" i="27"/>
  <c r="G19" i="26"/>
  <c r="G20" i="26" s="1"/>
  <c r="H64" i="27"/>
  <c r="H66" i="27" s="1"/>
  <c r="G34" i="26"/>
  <c r="G16" i="26"/>
  <c r="G58" i="8"/>
  <c r="G12" i="26"/>
  <c r="G21" i="26"/>
  <c r="G22" i="26" s="1"/>
  <c r="G17" i="26"/>
  <c r="G18" i="26" s="1"/>
  <c r="G67" i="8"/>
  <c r="H19" i="43" l="1"/>
  <c r="H68" i="22"/>
  <c r="H122" i="23"/>
  <c r="H125" i="23" s="1"/>
  <c r="H103" i="23"/>
  <c r="H121" i="23" s="1"/>
  <c r="H107" i="23"/>
  <c r="H123" i="23"/>
  <c r="H126" i="23" s="1"/>
  <c r="H108" i="23"/>
  <c r="H124" i="23"/>
  <c r="H127" i="23" s="1"/>
  <c r="H109" i="23"/>
  <c r="H11" i="27"/>
  <c r="H29" i="27"/>
  <c r="H30" i="27" s="1"/>
  <c r="H184" i="25"/>
  <c r="H186" i="25" s="1"/>
  <c r="H219" i="25"/>
  <c r="H216" i="25"/>
  <c r="H91" i="25"/>
  <c r="H57" i="25"/>
  <c r="G54" i="41"/>
  <c r="G42" i="26"/>
  <c r="O12" i="8"/>
  <c r="O4" i="8" s="1"/>
  <c r="O99" i="8"/>
  <c r="O107" i="8"/>
  <c r="O102" i="8"/>
  <c r="O104" i="8"/>
  <c r="G109" i="8"/>
  <c r="O41" i="8"/>
  <c r="G14" i="26"/>
  <c r="O23" i="8"/>
  <c r="G49" i="8"/>
  <c r="G39" i="26" s="1"/>
  <c r="O42" i="8"/>
  <c r="O94" i="8"/>
  <c r="O32" i="8"/>
  <c r="O22" i="8"/>
  <c r="O92" i="8"/>
  <c r="F111" i="8"/>
  <c r="G110" i="8"/>
  <c r="G43" i="26"/>
  <c r="G103" i="8"/>
  <c r="H26" i="25"/>
  <c r="H37" i="25"/>
  <c r="G65" i="39"/>
  <c r="G21" i="39"/>
  <c r="G68" i="39" s="1"/>
  <c r="H71" i="25"/>
  <c r="G41" i="26"/>
  <c r="H46" i="25"/>
  <c r="H48" i="25" s="1"/>
  <c r="G45" i="26"/>
  <c r="H82" i="25"/>
  <c r="H44" i="23"/>
  <c r="H76" i="23" s="1"/>
  <c r="H12" i="22"/>
  <c r="G38" i="26"/>
  <c r="G24" i="26"/>
  <c r="H42" i="23"/>
  <c r="H74" i="23" s="1"/>
  <c r="H43" i="23"/>
  <c r="H75" i="23" s="1"/>
  <c r="G11" i="26"/>
  <c r="H14" i="23"/>
  <c r="G63" i="8"/>
  <c r="G31" i="26"/>
  <c r="G24" i="39"/>
  <c r="G23" i="26"/>
  <c r="H19" i="3"/>
  <c r="H26" i="3" s="1"/>
  <c r="H128" i="23" l="1"/>
  <c r="G74" i="41"/>
  <c r="G75" i="41" s="1"/>
  <c r="G64" i="41"/>
  <c r="G65" i="41" s="1"/>
  <c r="G55" i="41"/>
  <c r="G84" i="8"/>
  <c r="O103" i="8"/>
  <c r="O109" i="8"/>
  <c r="O110" i="8"/>
  <c r="N111" i="8"/>
  <c r="O49" i="8"/>
  <c r="O51" i="8" s="1"/>
  <c r="O96" i="8"/>
  <c r="G76" i="8"/>
  <c r="G78" i="8" s="1"/>
  <c r="H46" i="26" s="1"/>
  <c r="H4" i="7"/>
  <c r="H6" i="7" s="1"/>
  <c r="H16" i="7" s="1"/>
  <c r="H17" i="7" s="1"/>
  <c r="G62" i="39"/>
  <c r="G69" i="39" s="1"/>
  <c r="G31" i="39"/>
  <c r="G6" i="39"/>
  <c r="G16" i="39" s="1"/>
  <c r="G70" i="39"/>
  <c r="H93" i="25"/>
  <c r="H58" i="25"/>
  <c r="H59" i="25" s="1"/>
  <c r="G26" i="39"/>
  <c r="G27" i="26"/>
  <c r="G65" i="8"/>
  <c r="G26" i="26"/>
  <c r="G35" i="26"/>
  <c r="G29" i="26"/>
  <c r="G32" i="39" l="1"/>
  <c r="G35" i="39" s="1"/>
  <c r="G37" i="39" s="1"/>
  <c r="G43" i="39" s="1"/>
  <c r="G48" i="39"/>
  <c r="H64" i="8"/>
  <c r="H4" i="8"/>
  <c r="H33" i="8"/>
  <c r="I9" i="3"/>
  <c r="H69" i="8"/>
  <c r="H17" i="8"/>
  <c r="C20" i="36"/>
  <c r="H22" i="39"/>
  <c r="H26" i="8"/>
  <c r="H59" i="8"/>
  <c r="H30" i="8"/>
  <c r="I11" i="3"/>
  <c r="E127" i="3" s="1"/>
  <c r="H61" i="8"/>
  <c r="H27" i="8"/>
  <c r="D14" i="25" s="1"/>
  <c r="H19" i="8"/>
  <c r="H79" i="8"/>
  <c r="H7" i="8"/>
  <c r="H91" i="8" s="1"/>
  <c r="C15" i="36"/>
  <c r="H34" i="8"/>
  <c r="I10" i="3"/>
  <c r="H35" i="8"/>
  <c r="H56" i="8"/>
  <c r="I11" i="45" s="1"/>
  <c r="I13" i="45" s="1"/>
  <c r="H48" i="8"/>
  <c r="C21" i="36"/>
  <c r="H60" i="8"/>
  <c r="H68" i="8"/>
  <c r="H19" i="39"/>
  <c r="H18" i="8"/>
  <c r="H57" i="8"/>
  <c r="H62" i="8"/>
  <c r="H9" i="8"/>
  <c r="H93" i="8" s="1"/>
  <c r="H13" i="8"/>
  <c r="H38" i="8"/>
  <c r="H25" i="8"/>
  <c r="I10" i="46" s="1"/>
  <c r="H40" i="8"/>
  <c r="H34" i="39"/>
  <c r="H77" i="8"/>
  <c r="C23" i="36" s="1"/>
  <c r="G30" i="26"/>
  <c r="G36" i="26"/>
  <c r="G80" i="8"/>
  <c r="G32" i="26"/>
  <c r="G28" i="26"/>
  <c r="G37" i="26"/>
  <c r="J9" i="51" l="1"/>
  <c r="I9" i="46"/>
  <c r="I11" i="46" s="1"/>
  <c r="C17" i="36"/>
  <c r="I14" i="43"/>
  <c r="C7" i="36"/>
  <c r="I13" i="23"/>
  <c r="I67" i="22"/>
  <c r="I211" i="25"/>
  <c r="C8" i="36"/>
  <c r="I104" i="23"/>
  <c r="I10" i="23"/>
  <c r="I39" i="23" s="1"/>
  <c r="I71" i="23" s="1"/>
  <c r="P91" i="8"/>
  <c r="C9" i="36"/>
  <c r="I105" i="23"/>
  <c r="I11" i="23"/>
  <c r="I40" i="23" s="1"/>
  <c r="I72" i="23" s="1"/>
  <c r="C18" i="36"/>
  <c r="I15" i="43"/>
  <c r="C10" i="36"/>
  <c r="I106" i="23"/>
  <c r="I12" i="23"/>
  <c r="I41" i="23" s="1"/>
  <c r="I73" i="23" s="1"/>
  <c r="P93" i="8"/>
  <c r="I10" i="43"/>
  <c r="I102" i="23"/>
  <c r="I120" i="23" s="1"/>
  <c r="I66" i="22"/>
  <c r="I210" i="25"/>
  <c r="I9" i="23"/>
  <c r="H107" i="8"/>
  <c r="P38" i="8"/>
  <c r="C24" i="37"/>
  <c r="P34" i="8"/>
  <c r="P17" i="8"/>
  <c r="G85" i="8"/>
  <c r="P13" i="8"/>
  <c r="P19" i="8"/>
  <c r="C20" i="37"/>
  <c r="P26" i="8"/>
  <c r="P40" i="8"/>
  <c r="P18" i="8"/>
  <c r="P27" i="8"/>
  <c r="H102" i="8"/>
  <c r="I139" i="25" s="1"/>
  <c r="I141" i="25" s="1"/>
  <c r="P30" i="8"/>
  <c r="P48" i="8"/>
  <c r="P9" i="8"/>
  <c r="P35" i="8"/>
  <c r="C19" i="37"/>
  <c r="P25" i="8"/>
  <c r="P7" i="8"/>
  <c r="C23" i="37"/>
  <c r="P33" i="8"/>
  <c r="C5" i="36"/>
  <c r="I11" i="22"/>
  <c r="C12" i="36"/>
  <c r="I5" i="7"/>
  <c r="H47" i="39"/>
  <c r="I10" i="22"/>
  <c r="I21" i="7"/>
  <c r="I29" i="7" s="1"/>
  <c r="C25" i="37"/>
  <c r="H104" i="8"/>
  <c r="C21" i="37"/>
  <c r="H99" i="8"/>
  <c r="H22" i="8"/>
  <c r="H12" i="8"/>
  <c r="H23" i="39"/>
  <c r="H17" i="39"/>
  <c r="H5" i="39"/>
  <c r="H36" i="39" s="1"/>
  <c r="H20" i="39"/>
  <c r="H25" i="39"/>
  <c r="H60" i="39"/>
  <c r="C26" i="37"/>
  <c r="I59" i="39"/>
  <c r="H50" i="39"/>
  <c r="H32" i="8"/>
  <c r="I51" i="27"/>
  <c r="I53" i="27" s="1"/>
  <c r="I24" i="25"/>
  <c r="I69" i="25"/>
  <c r="I35" i="25"/>
  <c r="C4" i="36"/>
  <c r="C28" i="36" s="1"/>
  <c r="I25" i="25"/>
  <c r="I36" i="25" s="1"/>
  <c r="I47" i="25" s="1"/>
  <c r="H44" i="26"/>
  <c r="H67" i="8"/>
  <c r="C16" i="36" s="1"/>
  <c r="H12" i="26"/>
  <c r="H18" i="39"/>
  <c r="I38" i="23"/>
  <c r="I70" i="23" s="1"/>
  <c r="H4" i="39"/>
  <c r="H30" i="39" s="1"/>
  <c r="I12" i="3"/>
  <c r="I16" i="3"/>
  <c r="I23" i="3" s="1"/>
  <c r="H9" i="26"/>
  <c r="H8" i="26"/>
  <c r="H42" i="8"/>
  <c r="D9" i="29" s="1"/>
  <c r="H13" i="26"/>
  <c r="H23" i="8"/>
  <c r="H17" i="26"/>
  <c r="H18" i="26" s="1"/>
  <c r="H21" i="26"/>
  <c r="H22" i="26" s="1"/>
  <c r="I10" i="27"/>
  <c r="H58" i="8"/>
  <c r="C6" i="36" s="1"/>
  <c r="H34" i="26"/>
  <c r="H16" i="26"/>
  <c r="I64" i="27"/>
  <c r="I66" i="27" s="1"/>
  <c r="H19" i="26"/>
  <c r="H20" i="26" s="1"/>
  <c r="I17" i="3"/>
  <c r="I24" i="3" s="1"/>
  <c r="I18" i="3"/>
  <c r="I25" i="3" s="1"/>
  <c r="H73" i="8"/>
  <c r="C19" i="36" s="1"/>
  <c r="H41" i="8"/>
  <c r="D7" i="29" l="1"/>
  <c r="J7" i="51"/>
  <c r="J6" i="51"/>
  <c r="I68" i="22"/>
  <c r="I19" i="43"/>
  <c r="I122" i="23"/>
  <c r="I125" i="23" s="1"/>
  <c r="I103" i="23"/>
  <c r="I121" i="23" s="1"/>
  <c r="I107" i="23"/>
  <c r="I124" i="23"/>
  <c r="I127" i="23" s="1"/>
  <c r="I109" i="23"/>
  <c r="I18" i="43"/>
  <c r="I123" i="23"/>
  <c r="I126" i="23" s="1"/>
  <c r="I108" i="23"/>
  <c r="I11" i="27"/>
  <c r="I29" i="27"/>
  <c r="I30" i="27" s="1"/>
  <c r="I184" i="25"/>
  <c r="I186" i="25" s="1"/>
  <c r="I216" i="25"/>
  <c r="I219" i="25"/>
  <c r="I91" i="25"/>
  <c r="I57" i="25"/>
  <c r="D12" i="25"/>
  <c r="D16" i="25"/>
  <c r="H54" i="41"/>
  <c r="C22" i="37"/>
  <c r="P22" i="8"/>
  <c r="P99" i="8"/>
  <c r="P94" i="8"/>
  <c r="H109" i="8"/>
  <c r="P41" i="8"/>
  <c r="C28" i="37"/>
  <c r="C35" i="37" s="1"/>
  <c r="P42" i="8"/>
  <c r="C27" i="37"/>
  <c r="P102" i="8"/>
  <c r="P23" i="8"/>
  <c r="P32" i="8"/>
  <c r="P12" i="8"/>
  <c r="P4" i="8" s="1"/>
  <c r="P92" i="8"/>
  <c r="P104" i="8"/>
  <c r="P107" i="8"/>
  <c r="G111" i="8"/>
  <c r="H110" i="8"/>
  <c r="C16" i="37"/>
  <c r="H103" i="8"/>
  <c r="H42" i="26"/>
  <c r="H21" i="39"/>
  <c r="H68" i="39" s="1"/>
  <c r="H65" i="39"/>
  <c r="C43" i="36"/>
  <c r="C30" i="36"/>
  <c r="C34" i="36"/>
  <c r="H24" i="26"/>
  <c r="C40" i="36"/>
  <c r="C42" i="36"/>
  <c r="C36" i="36"/>
  <c r="C33" i="36"/>
  <c r="C31" i="36"/>
  <c r="C32" i="36"/>
  <c r="C45" i="36"/>
  <c r="C47" i="36"/>
  <c r="C29" i="36"/>
  <c r="D6" i="29"/>
  <c r="C44" i="36"/>
  <c r="H45" i="26"/>
  <c r="C39" i="36"/>
  <c r="C41" i="36"/>
  <c r="H41" i="26"/>
  <c r="I46" i="25"/>
  <c r="H43" i="26"/>
  <c r="D17" i="25"/>
  <c r="I26" i="25"/>
  <c r="I70" i="25"/>
  <c r="I81" i="25" s="1"/>
  <c r="I92" i="25" s="1"/>
  <c r="I37" i="25"/>
  <c r="I42" i="23"/>
  <c r="I74" i="23" s="1"/>
  <c r="I44" i="23"/>
  <c r="I76" i="23" s="1"/>
  <c r="I43" i="23"/>
  <c r="I75" i="23" s="1"/>
  <c r="I14" i="23"/>
  <c r="I12" i="22"/>
  <c r="H49" i="8"/>
  <c r="H38" i="26"/>
  <c r="H11" i="26"/>
  <c r="H31" i="26"/>
  <c r="H63" i="8"/>
  <c r="J8" i="51" s="1"/>
  <c r="H23" i="26"/>
  <c r="I19" i="3"/>
  <c r="I26" i="3" s="1"/>
  <c r="H6" i="39"/>
  <c r="H16" i="39" s="1"/>
  <c r="H24" i="39"/>
  <c r="H14" i="26"/>
  <c r="J13" i="51" l="1"/>
  <c r="J14" i="51" s="1"/>
  <c r="I128" i="23"/>
  <c r="H74" i="41"/>
  <c r="H75" i="41" s="1"/>
  <c r="H64" i="41"/>
  <c r="H65" i="41" s="1"/>
  <c r="H55" i="41"/>
  <c r="H62" i="39"/>
  <c r="H69" i="39" s="1"/>
  <c r="P109" i="8"/>
  <c r="P103" i="8"/>
  <c r="P96" i="8"/>
  <c r="P110" i="8"/>
  <c r="P49" i="8"/>
  <c r="P51" i="8" s="1"/>
  <c r="O111" i="8"/>
  <c r="H76" i="8"/>
  <c r="I4" i="7"/>
  <c r="I6" i="7" s="1"/>
  <c r="I16" i="7" s="1"/>
  <c r="I17" i="7" s="1"/>
  <c r="H31" i="39"/>
  <c r="H32" i="39" s="1"/>
  <c r="H35" i="39" s="1"/>
  <c r="H37" i="39" s="1"/>
  <c r="H43" i="39" s="1"/>
  <c r="H70" i="39"/>
  <c r="H39" i="26"/>
  <c r="C11" i="36"/>
  <c r="C35" i="36" s="1"/>
  <c r="D8" i="29"/>
  <c r="I71" i="25"/>
  <c r="I82" i="25"/>
  <c r="I48" i="25"/>
  <c r="D18" i="25"/>
  <c r="H84" i="8"/>
  <c r="H29" i="26"/>
  <c r="H26" i="26"/>
  <c r="H35" i="26"/>
  <c r="H27" i="26"/>
  <c r="H65" i="8"/>
  <c r="C13" i="36" s="1"/>
  <c r="C37" i="36" s="1"/>
  <c r="H26" i="39"/>
  <c r="H48" i="39" l="1"/>
  <c r="D10" i="29"/>
  <c r="D12" i="29" s="1"/>
  <c r="H23" i="51" s="1"/>
  <c r="H78" i="8"/>
  <c r="H32" i="26" s="1"/>
  <c r="C22" i="36"/>
  <c r="C46" i="36" s="1"/>
  <c r="I64" i="8"/>
  <c r="I9" i="8"/>
  <c r="I93" i="8" s="1"/>
  <c r="I35" i="8"/>
  <c r="I61" i="8"/>
  <c r="I19" i="8"/>
  <c r="I57" i="8"/>
  <c r="I34" i="8"/>
  <c r="I27" i="8"/>
  <c r="E14" i="25" s="1"/>
  <c r="J9" i="3"/>
  <c r="D15" i="36"/>
  <c r="I25" i="8"/>
  <c r="J10" i="46" s="1"/>
  <c r="I38" i="8"/>
  <c r="I68" i="8"/>
  <c r="I19" i="39"/>
  <c r="I17" i="8"/>
  <c r="I77" i="8"/>
  <c r="D23" i="36" s="1"/>
  <c r="I33" i="8"/>
  <c r="I60" i="8"/>
  <c r="I18" i="8"/>
  <c r="J11" i="3"/>
  <c r="F127" i="3" s="1"/>
  <c r="D21" i="36"/>
  <c r="I79" i="8"/>
  <c r="I13" i="8"/>
  <c r="I48" i="8"/>
  <c r="I59" i="8"/>
  <c r="I4" i="8"/>
  <c r="I62" i="8"/>
  <c r="I56" i="8"/>
  <c r="J11" i="45" s="1"/>
  <c r="J13" i="45" s="1"/>
  <c r="I22" i="39"/>
  <c r="D20" i="36"/>
  <c r="I30" i="8"/>
  <c r="I34" i="39"/>
  <c r="I40" i="8"/>
  <c r="J10" i="3"/>
  <c r="I69" i="8"/>
  <c r="I26" i="8"/>
  <c r="I7" i="8"/>
  <c r="I91" i="8" s="1"/>
  <c r="C14" i="36"/>
  <c r="C38" i="36" s="1"/>
  <c r="H30" i="26"/>
  <c r="H36" i="26"/>
  <c r="J9" i="46" l="1"/>
  <c r="J11" i="46" s="1"/>
  <c r="K9" i="51"/>
  <c r="H80" i="8"/>
  <c r="D18" i="36"/>
  <c r="J15" i="43"/>
  <c r="D10" i="36"/>
  <c r="J106" i="23"/>
  <c r="J12" i="23"/>
  <c r="J41" i="23" s="1"/>
  <c r="J73" i="23" s="1"/>
  <c r="D8" i="36"/>
  <c r="J104" i="23"/>
  <c r="J10" i="23"/>
  <c r="J39" i="23" s="1"/>
  <c r="J71" i="23" s="1"/>
  <c r="J67" i="22"/>
  <c r="J211" i="25"/>
  <c r="Q93" i="8"/>
  <c r="Q91" i="8"/>
  <c r="D7" i="36"/>
  <c r="J13" i="23"/>
  <c r="D17" i="36"/>
  <c r="J14" i="43"/>
  <c r="J10" i="43"/>
  <c r="J102" i="23"/>
  <c r="J120" i="23" s="1"/>
  <c r="J66" i="22"/>
  <c r="J210" i="25"/>
  <c r="J9" i="23"/>
  <c r="J38" i="23" s="1"/>
  <c r="J70" i="23" s="1"/>
  <c r="D9" i="36"/>
  <c r="J105" i="23"/>
  <c r="J11" i="23"/>
  <c r="J40" i="23" s="1"/>
  <c r="J72" i="23" s="1"/>
  <c r="Q7" i="8"/>
  <c r="Q40" i="8"/>
  <c r="Q13" i="8"/>
  <c r="D23" i="37"/>
  <c r="Q33" i="8"/>
  <c r="Q19" i="8"/>
  <c r="Q9" i="8"/>
  <c r="D20" i="37"/>
  <c r="Q26" i="8"/>
  <c r="Q18" i="8"/>
  <c r="I107" i="8"/>
  <c r="Q38" i="8"/>
  <c r="Q27" i="8"/>
  <c r="I102" i="8"/>
  <c r="J139" i="25" s="1"/>
  <c r="J141" i="25" s="1"/>
  <c r="Q30" i="8"/>
  <c r="Q17" i="8"/>
  <c r="D19" i="37"/>
  <c r="Q25" i="8"/>
  <c r="D24" i="37"/>
  <c r="Q34" i="8"/>
  <c r="H85" i="8"/>
  <c r="Q48" i="8"/>
  <c r="Q35" i="8"/>
  <c r="J21" i="7"/>
  <c r="J29" i="7" s="1"/>
  <c r="I47" i="39"/>
  <c r="J10" i="22"/>
  <c r="D21" i="37"/>
  <c r="I99" i="8"/>
  <c r="D12" i="36"/>
  <c r="J5" i="7"/>
  <c r="D5" i="36"/>
  <c r="J11" i="22"/>
  <c r="D25" i="37"/>
  <c r="I104" i="8"/>
  <c r="I12" i="8"/>
  <c r="I22" i="8"/>
  <c r="I20" i="39"/>
  <c r="I25" i="39"/>
  <c r="I17" i="39"/>
  <c r="I23" i="39"/>
  <c r="I5" i="39"/>
  <c r="I36" i="39" s="1"/>
  <c r="D26" i="37"/>
  <c r="J59" i="39"/>
  <c r="K33" i="39" s="1"/>
  <c r="I50" i="39"/>
  <c r="I60" i="39"/>
  <c r="J51" i="27"/>
  <c r="J53" i="27" s="1"/>
  <c r="H37" i="26"/>
  <c r="I32" i="8"/>
  <c r="I93" i="25"/>
  <c r="I58" i="25"/>
  <c r="I59" i="25" s="1"/>
  <c r="J24" i="25"/>
  <c r="D4" i="36"/>
  <c r="D28" i="36" s="1"/>
  <c r="J25" i="25"/>
  <c r="J36" i="25" s="1"/>
  <c r="J47" i="25" s="1"/>
  <c r="J69" i="25"/>
  <c r="J35" i="25"/>
  <c r="H28" i="26"/>
  <c r="I46" i="26"/>
  <c r="C24" i="36"/>
  <c r="C48" i="36" s="1"/>
  <c r="I73" i="8"/>
  <c r="D19" i="36" s="1"/>
  <c r="I13" i="26"/>
  <c r="I44" i="26"/>
  <c r="I42" i="8"/>
  <c r="E9" i="29" s="1"/>
  <c r="J17" i="3"/>
  <c r="J24" i="3" s="1"/>
  <c r="J64" i="27"/>
  <c r="J66" i="27" s="1"/>
  <c r="I34" i="26"/>
  <c r="I16" i="26"/>
  <c r="J10" i="27"/>
  <c r="I19" i="26"/>
  <c r="I20" i="26" s="1"/>
  <c r="I58" i="8"/>
  <c r="D6" i="36" s="1"/>
  <c r="I8" i="26"/>
  <c r="I9" i="26"/>
  <c r="J18" i="3"/>
  <c r="J25" i="3" s="1"/>
  <c r="I12" i="26"/>
  <c r="J12" i="3"/>
  <c r="J16" i="3"/>
  <c r="J23" i="3" s="1"/>
  <c r="I21" i="26"/>
  <c r="I22" i="26" s="1"/>
  <c r="I17" i="26"/>
  <c r="I18" i="26" s="1"/>
  <c r="I67" i="8"/>
  <c r="D16" i="36" s="1"/>
  <c r="I4" i="39"/>
  <c r="I30" i="39" s="1"/>
  <c r="I23" i="8"/>
  <c r="I18" i="39"/>
  <c r="I41" i="8"/>
  <c r="E7" i="29" l="1"/>
  <c r="K7" i="51"/>
  <c r="K6" i="51"/>
  <c r="J124" i="23"/>
  <c r="J127" i="23" s="1"/>
  <c r="J109" i="23"/>
  <c r="J122" i="23"/>
  <c r="J125" i="23" s="1"/>
  <c r="J103" i="23"/>
  <c r="J121" i="23" s="1"/>
  <c r="J107" i="23"/>
  <c r="J18" i="43"/>
  <c r="J19" i="43"/>
  <c r="J108" i="23"/>
  <c r="J123" i="23"/>
  <c r="J126" i="23" s="1"/>
  <c r="J68" i="22"/>
  <c r="J11" i="27"/>
  <c r="J29" i="27"/>
  <c r="J30" i="27" s="1"/>
  <c r="J216" i="25"/>
  <c r="J219" i="25"/>
  <c r="J184" i="25"/>
  <c r="J186" i="25" s="1"/>
  <c r="J91" i="25"/>
  <c r="E16" i="25"/>
  <c r="J57" i="25"/>
  <c r="E12" i="25"/>
  <c r="I54" i="41"/>
  <c r="D22" i="37"/>
  <c r="D16" i="37"/>
  <c r="I109" i="8"/>
  <c r="Q41" i="8"/>
  <c r="Q92" i="8"/>
  <c r="I103" i="8"/>
  <c r="Q32" i="8"/>
  <c r="Q12" i="8"/>
  <c r="Q4" i="8" s="1"/>
  <c r="Q99" i="8"/>
  <c r="Q94" i="8"/>
  <c r="Q23" i="8"/>
  <c r="Q107" i="8"/>
  <c r="D28" i="37"/>
  <c r="D35" i="37" s="1"/>
  <c r="Q42" i="8"/>
  <c r="Q22" i="8"/>
  <c r="Q104" i="8"/>
  <c r="Q102" i="8"/>
  <c r="H111" i="8"/>
  <c r="I110" i="8"/>
  <c r="D27" i="37"/>
  <c r="I42" i="26"/>
  <c r="I65" i="39"/>
  <c r="I21" i="39"/>
  <c r="I68" i="39" s="1"/>
  <c r="D40" i="36"/>
  <c r="E6" i="29"/>
  <c r="D30" i="36"/>
  <c r="D32" i="36"/>
  <c r="I11" i="26"/>
  <c r="I38" i="26"/>
  <c r="D41" i="36"/>
  <c r="D42" i="36"/>
  <c r="J37" i="25"/>
  <c r="I41" i="26"/>
  <c r="J46" i="25"/>
  <c r="D29" i="36"/>
  <c r="D31" i="36"/>
  <c r="I45" i="26"/>
  <c r="I43" i="26"/>
  <c r="E17" i="25"/>
  <c r="D43" i="36"/>
  <c r="D39" i="36"/>
  <c r="D33" i="36"/>
  <c r="D34" i="36"/>
  <c r="D45" i="36"/>
  <c r="D47" i="36"/>
  <c r="D36" i="36"/>
  <c r="D44" i="36"/>
  <c r="J70" i="25"/>
  <c r="J81" i="25" s="1"/>
  <c r="J92" i="25" s="1"/>
  <c r="J26" i="25"/>
  <c r="J42" i="23"/>
  <c r="J74" i="23" s="1"/>
  <c r="I49" i="8"/>
  <c r="J12" i="22"/>
  <c r="J44" i="23"/>
  <c r="J76" i="23" s="1"/>
  <c r="I14" i="26"/>
  <c r="I24" i="26"/>
  <c r="I6" i="39"/>
  <c r="I16" i="39" s="1"/>
  <c r="I24" i="39"/>
  <c r="I23" i="26"/>
  <c r="J19" i="3"/>
  <c r="J26" i="3" s="1"/>
  <c r="I63" i="8"/>
  <c r="K8" i="51" s="1"/>
  <c r="I31" i="26"/>
  <c r="J43" i="23"/>
  <c r="J75" i="23" s="1"/>
  <c r="J14" i="23"/>
  <c r="K13" i="51" l="1"/>
  <c r="K14" i="51" s="1"/>
  <c r="J128" i="23"/>
  <c r="I64" i="41"/>
  <c r="I65" i="41" s="1"/>
  <c r="I74" i="41"/>
  <c r="I75" i="41" s="1"/>
  <c r="I55" i="41"/>
  <c r="Q110" i="8"/>
  <c r="Q103" i="8"/>
  <c r="Q49" i="8"/>
  <c r="Q51" i="8" s="1"/>
  <c r="P111" i="8"/>
  <c r="Q96" i="8"/>
  <c r="Q109" i="8"/>
  <c r="I76" i="8"/>
  <c r="J4" i="7"/>
  <c r="J6" i="7" s="1"/>
  <c r="J16" i="7" s="1"/>
  <c r="J17" i="7" s="1"/>
  <c r="I31" i="39"/>
  <c r="I62" i="39"/>
  <c r="I69" i="39" s="1"/>
  <c r="I70" i="39" s="1"/>
  <c r="I39" i="26"/>
  <c r="D11" i="36"/>
  <c r="D35" i="36" s="1"/>
  <c r="E8" i="29"/>
  <c r="J82" i="25"/>
  <c r="E18" i="25"/>
  <c r="J71" i="25"/>
  <c r="J48" i="25"/>
  <c r="I84" i="8"/>
  <c r="I65" i="8"/>
  <c r="D13" i="36" s="1"/>
  <c r="D37" i="36" s="1"/>
  <c r="I26" i="26"/>
  <c r="I35" i="26"/>
  <c r="I29" i="26"/>
  <c r="I27" i="26"/>
  <c r="I26" i="39"/>
  <c r="E19" i="25" l="1"/>
  <c r="I32" i="39"/>
  <c r="I35" i="39" s="1"/>
  <c r="I37" i="39" s="1"/>
  <c r="I43" i="39" s="1"/>
  <c r="I48" i="39"/>
  <c r="E10" i="29"/>
  <c r="E12" i="29" s="1"/>
  <c r="I23" i="51" s="1"/>
  <c r="J93" i="25"/>
  <c r="J58" i="25"/>
  <c r="J59" i="25" s="1"/>
  <c r="I78" i="8"/>
  <c r="I28" i="26" s="1"/>
  <c r="D22" i="36"/>
  <c r="D46" i="36" s="1"/>
  <c r="J64" i="8"/>
  <c r="J30" i="8"/>
  <c r="N15" i="31"/>
  <c r="K10" i="3"/>
  <c r="J69" i="8"/>
  <c r="J22" i="39"/>
  <c r="E20" i="36"/>
  <c r="J26" i="8"/>
  <c r="J59" i="8"/>
  <c r="K13" i="23" s="1"/>
  <c r="J62" i="8"/>
  <c r="J4" i="8"/>
  <c r="J13" i="8"/>
  <c r="R13" i="8" s="1"/>
  <c r="J48" i="8"/>
  <c r="R48" i="8" s="1"/>
  <c r="J79" i="8"/>
  <c r="J40" i="8"/>
  <c r="R40" i="8" s="1"/>
  <c r="J34" i="39"/>
  <c r="J17" i="8"/>
  <c r="J77" i="8"/>
  <c r="E23" i="36" s="1"/>
  <c r="K11" i="3"/>
  <c r="M18" i="3" s="1"/>
  <c r="J35" i="8"/>
  <c r="R35" i="8" s="1"/>
  <c r="E21" i="36"/>
  <c r="J38" i="8"/>
  <c r="J68" i="8"/>
  <c r="J19" i="39"/>
  <c r="J60" i="8"/>
  <c r="J27" i="8"/>
  <c r="J18" i="8"/>
  <c r="R18" i="8" s="1"/>
  <c r="K9" i="3"/>
  <c r="J25" i="8"/>
  <c r="K10" i="46" s="1"/>
  <c r="J61" i="8"/>
  <c r="J19" i="8"/>
  <c r="J9" i="8"/>
  <c r="J34" i="8"/>
  <c r="E15" i="36"/>
  <c r="J57" i="8"/>
  <c r="J7" i="8"/>
  <c r="J33" i="8"/>
  <c r="L9" i="51" s="1"/>
  <c r="J56" i="8"/>
  <c r="K11" i="45" s="1"/>
  <c r="K13" i="45" s="1"/>
  <c r="I36" i="26"/>
  <c r="D14" i="36"/>
  <c r="D38" i="36" s="1"/>
  <c r="I30" i="26"/>
  <c r="K9" i="46" l="1"/>
  <c r="K11" i="46" s="1"/>
  <c r="I17" i="45"/>
  <c r="J17" i="45" s="1"/>
  <c r="K17" i="45" s="1"/>
  <c r="L17" i="45" s="1"/>
  <c r="M17" i="45" s="1"/>
  <c r="D19" i="45"/>
  <c r="D18" i="45"/>
  <c r="D16" i="45"/>
  <c r="D20" i="45"/>
  <c r="R17" i="45" s="1"/>
  <c r="D17" i="45"/>
  <c r="R7" i="8"/>
  <c r="J91" i="8"/>
  <c r="R91" i="8" s="1"/>
  <c r="K67" i="22"/>
  <c r="K211" i="25"/>
  <c r="E17" i="36"/>
  <c r="K14" i="43"/>
  <c r="R9" i="8"/>
  <c r="J93" i="8"/>
  <c r="R93" i="8" s="1"/>
  <c r="K10" i="22"/>
  <c r="K10" i="43"/>
  <c r="K102" i="23"/>
  <c r="K120" i="23" s="1"/>
  <c r="K66" i="22"/>
  <c r="K210" i="25"/>
  <c r="K9" i="23"/>
  <c r="K105" i="23"/>
  <c r="K11" i="23"/>
  <c r="K40" i="23" s="1"/>
  <c r="K72" i="23" s="1"/>
  <c r="R27" i="8"/>
  <c r="F14" i="25"/>
  <c r="K106" i="23"/>
  <c r="K12" i="23"/>
  <c r="K41" i="23" s="1"/>
  <c r="K73" i="23" s="1"/>
  <c r="K104" i="23"/>
  <c r="K10" i="23"/>
  <c r="K39" i="23" s="1"/>
  <c r="K71" i="23" s="1"/>
  <c r="E18" i="36"/>
  <c r="K15" i="43"/>
  <c r="E23" i="37"/>
  <c r="R33" i="8"/>
  <c r="E19" i="37"/>
  <c r="R25" i="8"/>
  <c r="R19" i="8"/>
  <c r="J107" i="8"/>
  <c r="R107" i="8" s="1"/>
  <c r="R38" i="8"/>
  <c r="E20" i="37"/>
  <c r="R26" i="8"/>
  <c r="F12" i="37"/>
  <c r="R17" i="8"/>
  <c r="E24" i="37"/>
  <c r="R34" i="8"/>
  <c r="J102" i="8"/>
  <c r="R30" i="8"/>
  <c r="C8" i="2"/>
  <c r="K11" i="22"/>
  <c r="D159" i="22" s="1"/>
  <c r="E25" i="37"/>
  <c r="F25" i="37" s="1"/>
  <c r="J104" i="8"/>
  <c r="R104" i="8" s="1"/>
  <c r="R92" i="8"/>
  <c r="R94" i="8"/>
  <c r="E21" i="37"/>
  <c r="J99" i="8"/>
  <c r="R99" i="8" s="1"/>
  <c r="K21" i="7"/>
  <c r="K29" i="7" s="1"/>
  <c r="E12" i="36"/>
  <c r="K5" i="7"/>
  <c r="J22" i="8"/>
  <c r="J12" i="8"/>
  <c r="R12" i="8" s="1"/>
  <c r="J17" i="39"/>
  <c r="J20" i="39"/>
  <c r="J5" i="39"/>
  <c r="J36" i="39" s="1"/>
  <c r="J23" i="39"/>
  <c r="J25" i="39"/>
  <c r="H15" i="29"/>
  <c r="D13" i="29" s="1"/>
  <c r="K47" i="39"/>
  <c r="J47" i="39"/>
  <c r="J60" i="39"/>
  <c r="E26" i="37"/>
  <c r="J50" i="39"/>
  <c r="K50" i="39" s="1"/>
  <c r="L50" i="39" s="1"/>
  <c r="M50" i="39" s="1"/>
  <c r="N50" i="39" s="1"/>
  <c r="O50" i="39" s="1"/>
  <c r="P50" i="39" s="1"/>
  <c r="Q50" i="39" s="1"/>
  <c r="R50" i="39" s="1"/>
  <c r="S50" i="39" s="1"/>
  <c r="G127" i="3"/>
  <c r="I37" i="26"/>
  <c r="D15" i="28"/>
  <c r="K51" i="27"/>
  <c r="J32" i="8"/>
  <c r="I80" i="8"/>
  <c r="C7" i="2"/>
  <c r="K25" i="25"/>
  <c r="K36" i="25" s="1"/>
  <c r="K47" i="25" s="1"/>
  <c r="K24" i="25"/>
  <c r="K35" i="25"/>
  <c r="K69" i="25"/>
  <c r="E7" i="36"/>
  <c r="C10" i="2"/>
  <c r="I32" i="26"/>
  <c r="E10" i="36"/>
  <c r="C13" i="2"/>
  <c r="E9" i="36"/>
  <c r="C12" i="2"/>
  <c r="E8" i="36"/>
  <c r="C11" i="2"/>
  <c r="N14" i="31"/>
  <c r="E4" i="36"/>
  <c r="E28" i="36" s="1"/>
  <c r="E5" i="36"/>
  <c r="J46" i="26"/>
  <c r="D24" i="36"/>
  <c r="D48" i="36" s="1"/>
  <c r="J41" i="8"/>
  <c r="J67" i="8"/>
  <c r="J44" i="26"/>
  <c r="D31" i="31"/>
  <c r="D36" i="31"/>
  <c r="N19" i="31"/>
  <c r="K38" i="23"/>
  <c r="K70" i="23" s="1"/>
  <c r="J4" i="39"/>
  <c r="J30" i="39" s="1"/>
  <c r="D23" i="30"/>
  <c r="J13" i="26"/>
  <c r="D38" i="3"/>
  <c r="E133" i="3" s="1"/>
  <c r="N17" i="3"/>
  <c r="P17" i="3"/>
  <c r="M17" i="3"/>
  <c r="O17" i="3"/>
  <c r="Q17" i="3"/>
  <c r="R17" i="3"/>
  <c r="K17" i="3"/>
  <c r="K24" i="3" s="1"/>
  <c r="J73" i="8"/>
  <c r="E19" i="36" s="1"/>
  <c r="J42" i="8"/>
  <c r="F9" i="29" s="1"/>
  <c r="K64" i="27"/>
  <c r="K66" i="27" s="1"/>
  <c r="K10" i="27"/>
  <c r="J58" i="8"/>
  <c r="J34" i="26"/>
  <c r="J16" i="26"/>
  <c r="J19" i="26"/>
  <c r="J20" i="26" s="1"/>
  <c r="J17" i="26"/>
  <c r="J18" i="26" s="1"/>
  <c r="J21" i="26"/>
  <c r="J22" i="26" s="1"/>
  <c r="J12" i="26"/>
  <c r="D37" i="3"/>
  <c r="E132" i="3" s="1"/>
  <c r="K12" i="3"/>
  <c r="N16" i="3"/>
  <c r="M16" i="3"/>
  <c r="O16" i="3"/>
  <c r="R16" i="3"/>
  <c r="P16" i="3"/>
  <c r="Q16" i="3"/>
  <c r="K16" i="3"/>
  <c r="K23" i="3" s="1"/>
  <c r="J18" i="39"/>
  <c r="D39" i="3"/>
  <c r="E134" i="3" s="1"/>
  <c r="P18" i="3"/>
  <c r="O18" i="3"/>
  <c r="R18" i="3"/>
  <c r="Q18" i="3"/>
  <c r="N18" i="3"/>
  <c r="K18" i="3"/>
  <c r="K25" i="3" s="1"/>
  <c r="J23" i="8"/>
  <c r="L7" i="51" s="1"/>
  <c r="J8" i="26"/>
  <c r="J9" i="26"/>
  <c r="R4" i="8" l="1"/>
  <c r="L6" i="51"/>
  <c r="R23" i="8"/>
  <c r="F7" i="29"/>
  <c r="K68" i="22"/>
  <c r="N17" i="45"/>
  <c r="O17" i="45" s="1"/>
  <c r="P17" i="45" s="1"/>
  <c r="Q17" i="45" s="1"/>
  <c r="D17" i="46"/>
  <c r="D15" i="46"/>
  <c r="D18" i="46"/>
  <c r="D16" i="46"/>
  <c r="D14" i="46"/>
  <c r="G25" i="37"/>
  <c r="D45" i="43"/>
  <c r="K19" i="43"/>
  <c r="K124" i="23"/>
  <c r="K127" i="23" s="1"/>
  <c r="K109" i="23"/>
  <c r="K123" i="23"/>
  <c r="K126" i="23" s="1"/>
  <c r="K108" i="23"/>
  <c r="R102" i="8"/>
  <c r="K139" i="25"/>
  <c r="K141" i="25" s="1"/>
  <c r="D44" i="43"/>
  <c r="K18" i="43"/>
  <c r="K122" i="23"/>
  <c r="K125" i="23" s="1"/>
  <c r="K103" i="23"/>
  <c r="K121" i="23" s="1"/>
  <c r="K107" i="23"/>
  <c r="G12" i="37"/>
  <c r="L11" i="43"/>
  <c r="I39" i="43" s="1"/>
  <c r="E46" i="43" s="1"/>
  <c r="G15" i="42" s="1"/>
  <c r="K11" i="27"/>
  <c r="D14" i="27" s="1"/>
  <c r="K29" i="27"/>
  <c r="K30" i="27" s="1"/>
  <c r="K219" i="25"/>
  <c r="K184" i="25"/>
  <c r="K186" i="25" s="1"/>
  <c r="K216" i="25"/>
  <c r="F12" i="25"/>
  <c r="F16" i="25"/>
  <c r="K91" i="25"/>
  <c r="K57" i="25"/>
  <c r="J54" i="41"/>
  <c r="E22" i="37"/>
  <c r="I85" i="8"/>
  <c r="J103" i="8"/>
  <c r="R103" i="8" s="1"/>
  <c r="R32" i="8"/>
  <c r="R22" i="8"/>
  <c r="E28" i="37"/>
  <c r="E35" i="37" s="1"/>
  <c r="R42" i="8"/>
  <c r="F15" i="37"/>
  <c r="G15" i="37" s="1"/>
  <c r="H15" i="37" s="1"/>
  <c r="I15" i="37" s="1"/>
  <c r="J15" i="37" s="1"/>
  <c r="K15" i="37" s="1"/>
  <c r="L15" i="37" s="1"/>
  <c r="M15" i="37" s="1"/>
  <c r="N15" i="37" s="1"/>
  <c r="O15" i="37" s="1"/>
  <c r="J109" i="8"/>
  <c r="R109" i="8" s="1"/>
  <c r="R41" i="8"/>
  <c r="I111" i="8"/>
  <c r="J110" i="8"/>
  <c r="R110" i="8" s="1"/>
  <c r="E16" i="37"/>
  <c r="J42" i="26"/>
  <c r="E27" i="37"/>
  <c r="F27" i="37" s="1"/>
  <c r="G27" i="37" s="1"/>
  <c r="H27" i="37" s="1"/>
  <c r="I27" i="37" s="1"/>
  <c r="J27" i="37" s="1"/>
  <c r="K27" i="37" s="1"/>
  <c r="L27" i="37" s="1"/>
  <c r="M27" i="37" s="1"/>
  <c r="N27" i="37" s="1"/>
  <c r="O27" i="37" s="1"/>
  <c r="E16" i="36"/>
  <c r="E40" i="36" s="1"/>
  <c r="J21" i="39"/>
  <c r="J68" i="39" s="1"/>
  <c r="J65" i="39"/>
  <c r="E13" i="29"/>
  <c r="E135" i="3"/>
  <c r="L141" i="3" s="1"/>
  <c r="D62" i="22"/>
  <c r="D164" i="22"/>
  <c r="D165" i="22" s="1"/>
  <c r="D166" i="22" s="1"/>
  <c r="D167" i="22" s="1"/>
  <c r="J24" i="26"/>
  <c r="E43" i="36"/>
  <c r="F6" i="29"/>
  <c r="E15" i="28"/>
  <c r="G15" i="28" s="1"/>
  <c r="G16" i="28" s="1"/>
  <c r="J11" i="26"/>
  <c r="E29" i="36"/>
  <c r="K26" i="25"/>
  <c r="D31" i="25" s="1"/>
  <c r="K37" i="25"/>
  <c r="I41" i="25" s="1"/>
  <c r="J43" i="26"/>
  <c r="F17" i="25"/>
  <c r="J41" i="26"/>
  <c r="K46" i="25"/>
  <c r="J45" i="26"/>
  <c r="K70" i="25"/>
  <c r="K81" i="25" s="1"/>
  <c r="K92" i="25" s="1"/>
  <c r="E31" i="36"/>
  <c r="E6" i="36"/>
  <c r="E30" i="36" s="1"/>
  <c r="C9" i="2"/>
  <c r="E42" i="36"/>
  <c r="D33" i="31"/>
  <c r="E36" i="36"/>
  <c r="E44" i="36"/>
  <c r="E32" i="36"/>
  <c r="E33" i="36"/>
  <c r="E34" i="36"/>
  <c r="E45" i="36"/>
  <c r="E41" i="36"/>
  <c r="E39" i="36"/>
  <c r="E47" i="36"/>
  <c r="E28" i="23"/>
  <c r="E27" i="23"/>
  <c r="F27" i="23" s="1"/>
  <c r="G27" i="23" s="1"/>
  <c r="H27" i="23" s="1"/>
  <c r="I27" i="23" s="1"/>
  <c r="J27" i="23" s="1"/>
  <c r="K27" i="23" s="1"/>
  <c r="L27" i="23" s="1"/>
  <c r="M27" i="23" s="1"/>
  <c r="N27" i="23" s="1"/>
  <c r="O27" i="23" s="1"/>
  <c r="E24" i="23"/>
  <c r="E23" i="23"/>
  <c r="F23" i="23" s="1"/>
  <c r="G23" i="23" s="1"/>
  <c r="H23" i="23" s="1"/>
  <c r="I23" i="23" s="1"/>
  <c r="J23" i="23" s="1"/>
  <c r="K23" i="23" s="1"/>
  <c r="L23" i="23" s="1"/>
  <c r="M23" i="23" s="1"/>
  <c r="N23" i="23" s="1"/>
  <c r="O23" i="23" s="1"/>
  <c r="E32" i="23"/>
  <c r="E31" i="23"/>
  <c r="F31" i="23" s="1"/>
  <c r="G31" i="23" s="1"/>
  <c r="H31" i="23" s="1"/>
  <c r="I31" i="23" s="1"/>
  <c r="J31" i="23" s="1"/>
  <c r="K31" i="23" s="1"/>
  <c r="L31" i="23" s="1"/>
  <c r="M31" i="23" s="1"/>
  <c r="N31" i="23" s="1"/>
  <c r="O31" i="23" s="1"/>
  <c r="K42" i="23"/>
  <c r="I48" i="23" s="1"/>
  <c r="K14" i="23"/>
  <c r="S18" i="3"/>
  <c r="K44" i="23"/>
  <c r="K43" i="23"/>
  <c r="D38" i="31"/>
  <c r="R25" i="3"/>
  <c r="Q25" i="3"/>
  <c r="P25" i="3"/>
  <c r="N25" i="3"/>
  <c r="O25" i="3"/>
  <c r="M25" i="3"/>
  <c r="R23" i="3"/>
  <c r="Q23" i="3"/>
  <c r="P23" i="3"/>
  <c r="O23" i="3"/>
  <c r="N23" i="3"/>
  <c r="M23" i="3"/>
  <c r="N19" i="3"/>
  <c r="M19" i="3"/>
  <c r="O19" i="3"/>
  <c r="P19" i="3"/>
  <c r="R19" i="3"/>
  <c r="Q19" i="3"/>
  <c r="K19" i="3"/>
  <c r="K26" i="3" s="1"/>
  <c r="E37" i="3"/>
  <c r="F132" i="3" s="1"/>
  <c r="D40" i="3"/>
  <c r="J23" i="26"/>
  <c r="J31" i="26"/>
  <c r="J63" i="8"/>
  <c r="I15" i="27"/>
  <c r="J15" i="27" s="1"/>
  <c r="K15" i="27" s="1"/>
  <c r="L15" i="27" s="1"/>
  <c r="M15" i="27" s="1"/>
  <c r="K12" i="22"/>
  <c r="S16" i="3"/>
  <c r="J14" i="26"/>
  <c r="S17" i="3"/>
  <c r="E39" i="3"/>
  <c r="F134" i="3" s="1"/>
  <c r="K53" i="27"/>
  <c r="I70" i="27"/>
  <c r="J70" i="27" s="1"/>
  <c r="K70" i="27" s="1"/>
  <c r="L70" i="27" s="1"/>
  <c r="M70" i="27" s="1"/>
  <c r="D69" i="27"/>
  <c r="D70" i="27"/>
  <c r="D71" i="27"/>
  <c r="D72" i="27"/>
  <c r="R70" i="27" s="1"/>
  <c r="D68" i="27"/>
  <c r="J38" i="26"/>
  <c r="D24" i="30"/>
  <c r="J49" i="8"/>
  <c r="R49" i="8" s="1"/>
  <c r="R51" i="8" s="1"/>
  <c r="R24" i="3"/>
  <c r="N24" i="3"/>
  <c r="M24" i="3"/>
  <c r="Q24" i="3"/>
  <c r="O24" i="3"/>
  <c r="P24" i="3"/>
  <c r="E38" i="3"/>
  <c r="F133" i="3" s="1"/>
  <c r="I148" i="3" l="1"/>
  <c r="E154" i="3" s="1"/>
  <c r="D16" i="27"/>
  <c r="D17" i="27"/>
  <c r="D15" i="27"/>
  <c r="D44" i="30"/>
  <c r="D45" i="30" s="1"/>
  <c r="E43" i="30" s="1"/>
  <c r="L8" i="51"/>
  <c r="L13" i="51" s="1"/>
  <c r="L14" i="51" s="1"/>
  <c r="D13" i="27"/>
  <c r="D23" i="28"/>
  <c r="E23" i="28" s="1"/>
  <c r="R15" i="46"/>
  <c r="I15" i="46"/>
  <c r="J15" i="46" s="1"/>
  <c r="K15" i="46" s="1"/>
  <c r="L15" i="46" s="1"/>
  <c r="M15" i="46" s="1"/>
  <c r="H25" i="37"/>
  <c r="I145" i="25"/>
  <c r="J145" i="25" s="1"/>
  <c r="K145" i="25" s="1"/>
  <c r="L145" i="25" s="1"/>
  <c r="M145" i="25" s="1"/>
  <c r="D147" i="25"/>
  <c r="D143" i="25"/>
  <c r="D146" i="25"/>
  <c r="D144" i="25"/>
  <c r="D145" i="25"/>
  <c r="D148" i="23"/>
  <c r="D146" i="23"/>
  <c r="D149" i="23"/>
  <c r="D145" i="23"/>
  <c r="D147" i="23"/>
  <c r="I24" i="43"/>
  <c r="D25" i="43"/>
  <c r="D24" i="43"/>
  <c r="D27" i="43"/>
  <c r="R24" i="43" s="1"/>
  <c r="D23" i="43"/>
  <c r="D26" i="43"/>
  <c r="I31" i="43"/>
  <c r="D33" i="43"/>
  <c r="D34" i="43"/>
  <c r="R31" i="43" s="1"/>
  <c r="D31" i="43"/>
  <c r="D32" i="43"/>
  <c r="D30" i="43"/>
  <c r="K128" i="23"/>
  <c r="D135" i="23"/>
  <c r="D131" i="23"/>
  <c r="D134" i="23"/>
  <c r="D132" i="23"/>
  <c r="D133" i="23"/>
  <c r="D139" i="23"/>
  <c r="D142" i="23"/>
  <c r="D141" i="23"/>
  <c r="D140" i="23"/>
  <c r="D138" i="23"/>
  <c r="H12" i="37"/>
  <c r="M11" i="43"/>
  <c r="J39" i="43" s="1"/>
  <c r="F46" i="43" s="1"/>
  <c r="H15" i="42" s="1"/>
  <c r="I55" i="23"/>
  <c r="J55" i="23" s="1"/>
  <c r="K75" i="23"/>
  <c r="D47" i="23"/>
  <c r="K74" i="23"/>
  <c r="D62" i="23"/>
  <c r="K76" i="23"/>
  <c r="I34" i="27"/>
  <c r="R34" i="27" s="1"/>
  <c r="D32" i="27"/>
  <c r="D35" i="27"/>
  <c r="D34" i="27"/>
  <c r="D33" i="27"/>
  <c r="D36" i="27"/>
  <c r="J64" i="41"/>
  <c r="J65" i="41" s="1"/>
  <c r="J74" i="41"/>
  <c r="J75" i="41" s="1"/>
  <c r="J55" i="41"/>
  <c r="I190" i="25"/>
  <c r="D192" i="25"/>
  <c r="D188" i="25"/>
  <c r="D189" i="25"/>
  <c r="D190" i="25"/>
  <c r="D191" i="25"/>
  <c r="I30" i="25"/>
  <c r="J30" i="25" s="1"/>
  <c r="Q111" i="8"/>
  <c r="J111" i="8"/>
  <c r="R111" i="8" s="1"/>
  <c r="R96" i="8"/>
  <c r="K4" i="7"/>
  <c r="K6" i="7" s="1"/>
  <c r="K16" i="7" s="1"/>
  <c r="K17" i="7" s="1"/>
  <c r="J31" i="39"/>
  <c r="J48" i="39" s="1"/>
  <c r="F8" i="29"/>
  <c r="J76" i="8"/>
  <c r="O31" i="39"/>
  <c r="O32" i="39" s="1"/>
  <c r="K31" i="39"/>
  <c r="K32" i="39" s="1"/>
  <c r="P31" i="39"/>
  <c r="P32" i="39" s="1"/>
  <c r="N31" i="39"/>
  <c r="N32" i="39" s="1"/>
  <c r="L31" i="39"/>
  <c r="L32" i="39" s="1"/>
  <c r="R31" i="39"/>
  <c r="R32" i="39" s="1"/>
  <c r="Q31" i="39"/>
  <c r="Q32" i="39" s="1"/>
  <c r="T31" i="39"/>
  <c r="T32" i="39" s="1"/>
  <c r="M31" i="39"/>
  <c r="M32" i="39" s="1"/>
  <c r="S31" i="39"/>
  <c r="S32" i="39" s="1"/>
  <c r="J24" i="39"/>
  <c r="J62" i="39" s="1"/>
  <c r="J69" i="39" s="1"/>
  <c r="J70" i="39" s="1"/>
  <c r="J6" i="39"/>
  <c r="J16" i="39" s="1"/>
  <c r="F135" i="3"/>
  <c r="D61" i="22"/>
  <c r="I16" i="22"/>
  <c r="D56" i="22"/>
  <c r="D42" i="25"/>
  <c r="D39" i="25"/>
  <c r="D43" i="25"/>
  <c r="D40" i="25"/>
  <c r="D41" i="25"/>
  <c r="F18" i="25"/>
  <c r="F19" i="25" s="1"/>
  <c r="D32" i="25"/>
  <c r="D29" i="25"/>
  <c r="D30" i="25"/>
  <c r="D28" i="25"/>
  <c r="K71" i="25"/>
  <c r="D77" i="25" s="1"/>
  <c r="K82" i="25"/>
  <c r="J41" i="25"/>
  <c r="K48" i="25"/>
  <c r="E11" i="36"/>
  <c r="E35" i="36" s="1"/>
  <c r="C14" i="2"/>
  <c r="J48" i="23"/>
  <c r="D48" i="23"/>
  <c r="D49" i="23"/>
  <c r="R48" i="23" s="1"/>
  <c r="D50" i="23"/>
  <c r="D51" i="23"/>
  <c r="D56" i="23"/>
  <c r="R55" i="23" s="1"/>
  <c r="D63" i="23"/>
  <c r="R62" i="23" s="1"/>
  <c r="N70" i="27"/>
  <c r="O70" i="27" s="1"/>
  <c r="P70" i="27" s="1"/>
  <c r="Q70" i="27" s="1"/>
  <c r="R15" i="27"/>
  <c r="N15" i="27" s="1"/>
  <c r="O15" i="27" s="1"/>
  <c r="P15" i="27" s="1"/>
  <c r="Q15" i="27" s="1"/>
  <c r="S25" i="3"/>
  <c r="D64" i="23"/>
  <c r="D61" i="23"/>
  <c r="I62" i="23"/>
  <c r="J62" i="23" s="1"/>
  <c r="D65" i="23"/>
  <c r="D58" i="23"/>
  <c r="D54" i="23"/>
  <c r="D55" i="23"/>
  <c r="D57" i="23"/>
  <c r="J26" i="39"/>
  <c r="J39" i="26"/>
  <c r="J84" i="8"/>
  <c r="D170" i="22"/>
  <c r="D171" i="22" s="1"/>
  <c r="D172" i="22" s="1"/>
  <c r="D173" i="22" s="1"/>
  <c r="D16" i="22"/>
  <c r="D177" i="22" s="1"/>
  <c r="D18" i="22"/>
  <c r="R16" i="22" s="1"/>
  <c r="D14" i="22"/>
  <c r="D15" i="22"/>
  <c r="D176" i="22" s="1"/>
  <c r="D17" i="22"/>
  <c r="D178" i="22" s="1"/>
  <c r="J65" i="8"/>
  <c r="J29" i="26"/>
  <c r="J27" i="26"/>
  <c r="J26" i="26"/>
  <c r="J35" i="26"/>
  <c r="F37" i="3"/>
  <c r="G132" i="3" s="1"/>
  <c r="E40" i="3"/>
  <c r="R26" i="3"/>
  <c r="Q26" i="3"/>
  <c r="O26" i="3"/>
  <c r="P26" i="3"/>
  <c r="M26" i="3"/>
  <c r="N26" i="3"/>
  <c r="S24" i="3"/>
  <c r="S23" i="3"/>
  <c r="F38" i="3"/>
  <c r="G133" i="3" s="1"/>
  <c r="D25" i="30"/>
  <c r="E23" i="30" s="1"/>
  <c r="D10" i="30" s="1"/>
  <c r="I57" i="27"/>
  <c r="J57" i="27" s="1"/>
  <c r="D58" i="27"/>
  <c r="D57" i="27"/>
  <c r="R57" i="27" s="1"/>
  <c r="D55" i="27"/>
  <c r="D56" i="27"/>
  <c r="D59" i="27"/>
  <c r="F39" i="3"/>
  <c r="G134" i="3" s="1"/>
  <c r="S19" i="3"/>
  <c r="M141" i="3" l="1"/>
  <c r="J148" i="3" s="1"/>
  <c r="F154" i="3" s="1"/>
  <c r="E155" i="3"/>
  <c r="L11" i="45"/>
  <c r="I18" i="45" s="1"/>
  <c r="F7" i="37" s="1"/>
  <c r="L66" i="22"/>
  <c r="L67" i="22" s="1"/>
  <c r="L68" i="22" s="1"/>
  <c r="L210" i="25"/>
  <c r="L25" i="25"/>
  <c r="L10" i="43"/>
  <c r="I25" i="43" s="1"/>
  <c r="E44" i="43" s="1"/>
  <c r="G17" i="42" s="1"/>
  <c r="L102" i="23"/>
  <c r="L120" i="23" s="1"/>
  <c r="G5" i="42"/>
  <c r="D7" i="2"/>
  <c r="F23" i="28"/>
  <c r="E25" i="28"/>
  <c r="D13" i="30" s="1"/>
  <c r="D33" i="30" s="1"/>
  <c r="E33" i="30" s="1"/>
  <c r="E44" i="30"/>
  <c r="E45" i="30" s="1"/>
  <c r="N15" i="46"/>
  <c r="O15" i="46" s="1"/>
  <c r="P15" i="46" s="1"/>
  <c r="Q15" i="46" s="1"/>
  <c r="E13" i="36"/>
  <c r="E37" i="36" s="1"/>
  <c r="N16" i="31"/>
  <c r="D37" i="31" s="1"/>
  <c r="I25" i="37"/>
  <c r="J24" i="43"/>
  <c r="J31" i="43"/>
  <c r="I12" i="37"/>
  <c r="N11" i="43"/>
  <c r="K39" i="43" s="1"/>
  <c r="G46" i="43" s="1"/>
  <c r="I15" i="42" s="1"/>
  <c r="D83" i="23"/>
  <c r="D81" i="23"/>
  <c r="D79" i="23"/>
  <c r="D80" i="23"/>
  <c r="D82" i="23"/>
  <c r="D96" i="23"/>
  <c r="D94" i="23"/>
  <c r="D95" i="23"/>
  <c r="D93" i="23"/>
  <c r="D97" i="23"/>
  <c r="D89" i="23"/>
  <c r="D87" i="23"/>
  <c r="D88" i="23"/>
  <c r="D86" i="23"/>
  <c r="D90" i="23"/>
  <c r="J34" i="27"/>
  <c r="J190" i="25"/>
  <c r="J32" i="39"/>
  <c r="J35" i="39" s="1"/>
  <c r="J37" i="39" s="1"/>
  <c r="J43" i="39" s="1"/>
  <c r="F10" i="29"/>
  <c r="G135" i="3"/>
  <c r="D57" i="22"/>
  <c r="D58" i="22" s="1"/>
  <c r="K93" i="25"/>
  <c r="D99" i="25" s="1"/>
  <c r="K58" i="25"/>
  <c r="K59" i="25" s="1"/>
  <c r="I86" i="25"/>
  <c r="D85" i="25"/>
  <c r="D88" i="25"/>
  <c r="D87" i="25"/>
  <c r="D84" i="25"/>
  <c r="D86" i="25"/>
  <c r="K30" i="25"/>
  <c r="I75" i="25"/>
  <c r="D75" i="25"/>
  <c r="D73" i="25"/>
  <c r="D74" i="25"/>
  <c r="D76" i="25"/>
  <c r="I52" i="25"/>
  <c r="D50" i="25"/>
  <c r="D51" i="25"/>
  <c r="D54" i="25"/>
  <c r="D53" i="25"/>
  <c r="D52" i="25"/>
  <c r="K41" i="25"/>
  <c r="J78" i="8"/>
  <c r="E24" i="36" s="1"/>
  <c r="E48" i="36" s="1"/>
  <c r="E22" i="36"/>
  <c r="E46" i="36" s="1"/>
  <c r="G39" i="3"/>
  <c r="H134" i="3" s="1"/>
  <c r="G38" i="3"/>
  <c r="H133" i="3" s="1"/>
  <c r="J16" i="22"/>
  <c r="D179" i="22"/>
  <c r="E24" i="30"/>
  <c r="S26" i="3"/>
  <c r="K57" i="27"/>
  <c r="E10" i="30"/>
  <c r="F10" i="30" s="1"/>
  <c r="G10" i="30" s="1"/>
  <c r="H10" i="30" s="1"/>
  <c r="I10" i="30" s="1"/>
  <c r="J10" i="30" s="1"/>
  <c r="K10" i="30" s="1"/>
  <c r="L10" i="30" s="1"/>
  <c r="M10" i="30" s="1"/>
  <c r="N10" i="30" s="1"/>
  <c r="K55" i="23"/>
  <c r="K48" i="23"/>
  <c r="F40" i="3"/>
  <c r="G37" i="3"/>
  <c r="H132" i="3" s="1"/>
  <c r="E14" i="36"/>
  <c r="E38" i="36" s="1"/>
  <c r="J30" i="26"/>
  <c r="J36" i="26"/>
  <c r="D175" i="22"/>
  <c r="K62" i="23"/>
  <c r="I32" i="43" l="1"/>
  <c r="E45" i="43" s="1"/>
  <c r="G18" i="42" s="1"/>
  <c r="G16" i="42" s="1"/>
  <c r="L104" i="23"/>
  <c r="L107" i="23" s="1"/>
  <c r="L105" i="23"/>
  <c r="L108" i="23" s="1"/>
  <c r="F155" i="3"/>
  <c r="E7" i="2"/>
  <c r="M102" i="23"/>
  <c r="M105" i="23" s="1"/>
  <c r="M108" i="23" s="1"/>
  <c r="M11" i="45"/>
  <c r="J18" i="45" s="1"/>
  <c r="G7" i="37" s="1"/>
  <c r="M25" i="25"/>
  <c r="M10" i="43"/>
  <c r="J25" i="43" s="1"/>
  <c r="F44" i="43" s="1"/>
  <c r="H17" i="42" s="1"/>
  <c r="M210" i="25"/>
  <c r="H5" i="42"/>
  <c r="M66" i="22"/>
  <c r="M67" i="22" s="1"/>
  <c r="M68" i="22" s="1"/>
  <c r="N141" i="3"/>
  <c r="K148" i="3" s="1"/>
  <c r="G154" i="3" s="1"/>
  <c r="L106" i="23"/>
  <c r="L109" i="23" s="1"/>
  <c r="E167" i="22"/>
  <c r="F12" i="29"/>
  <c r="J23" i="51" s="1"/>
  <c r="E13" i="30"/>
  <c r="E14" i="30" s="1"/>
  <c r="D34" i="30"/>
  <c r="D53" i="30"/>
  <c r="E53" i="30" s="1"/>
  <c r="D14" i="30"/>
  <c r="G23" i="28"/>
  <c r="F25" i="28"/>
  <c r="D32" i="31"/>
  <c r="F33" i="30"/>
  <c r="E34" i="30"/>
  <c r="J25" i="37"/>
  <c r="K24" i="43"/>
  <c r="K31" i="43"/>
  <c r="J12" i="37"/>
  <c r="O11" i="43"/>
  <c r="L39" i="43" s="1"/>
  <c r="H46" i="43" s="1"/>
  <c r="J15" i="42" s="1"/>
  <c r="K34" i="27"/>
  <c r="K190" i="25"/>
  <c r="H135" i="3"/>
  <c r="K16" i="22"/>
  <c r="J80" i="8"/>
  <c r="J28" i="26"/>
  <c r="D95" i="25"/>
  <c r="I97" i="25"/>
  <c r="J97" i="25" s="1"/>
  <c r="D96" i="25"/>
  <c r="D98" i="25"/>
  <c r="D97" i="25"/>
  <c r="I63" i="25"/>
  <c r="D62" i="25"/>
  <c r="D63" i="25"/>
  <c r="D64" i="25"/>
  <c r="D61" i="25"/>
  <c r="D65" i="25"/>
  <c r="J32" i="26"/>
  <c r="J52" i="25"/>
  <c r="L30" i="25"/>
  <c r="M30" i="25" s="1"/>
  <c r="J37" i="26"/>
  <c r="L41" i="25"/>
  <c r="J75" i="25"/>
  <c r="J86" i="25"/>
  <c r="L62" i="23"/>
  <c r="H37" i="3"/>
  <c r="I132" i="3" s="1"/>
  <c r="G40" i="3"/>
  <c r="L48" i="23"/>
  <c r="L55" i="23"/>
  <c r="M55" i="23" s="1"/>
  <c r="L57" i="27"/>
  <c r="M57" i="27" s="1"/>
  <c r="N57" i="27" s="1"/>
  <c r="O57" i="27" s="1"/>
  <c r="D11" i="30"/>
  <c r="E25" i="30"/>
  <c r="H38" i="3"/>
  <c r="I133" i="3" s="1"/>
  <c r="O133" i="3" s="1"/>
  <c r="H39" i="3"/>
  <c r="I134" i="3" s="1"/>
  <c r="O134" i="3" s="1"/>
  <c r="M106" i="23" l="1"/>
  <c r="M109" i="23" s="1"/>
  <c r="L103" i="23"/>
  <c r="L121" i="23" s="1"/>
  <c r="G8" i="42" s="1"/>
  <c r="J32" i="43"/>
  <c r="F45" i="43" s="1"/>
  <c r="H18" i="42" s="1"/>
  <c r="F167" i="22"/>
  <c r="N66" i="22"/>
  <c r="N67" i="22" s="1"/>
  <c r="N68" i="22" s="1"/>
  <c r="G155" i="3"/>
  <c r="N25" i="25"/>
  <c r="N102" i="23"/>
  <c r="N120" i="23" s="1"/>
  <c r="F7" i="2"/>
  <c r="N11" i="45"/>
  <c r="K18" i="45" s="1"/>
  <c r="H7" i="37" s="1"/>
  <c r="N210" i="25"/>
  <c r="N10" i="43"/>
  <c r="K25" i="43" s="1"/>
  <c r="G44" i="43" s="1"/>
  <c r="I17" i="42" s="1"/>
  <c r="I5" i="42"/>
  <c r="M104" i="23"/>
  <c r="M120" i="23"/>
  <c r="O141" i="3"/>
  <c r="L148" i="3" s="1"/>
  <c r="H154" i="3" s="1"/>
  <c r="F13" i="29"/>
  <c r="F13" i="30"/>
  <c r="G13" i="30" s="1"/>
  <c r="D54" i="30"/>
  <c r="H23" i="28"/>
  <c r="G25" i="28"/>
  <c r="N18" i="31"/>
  <c r="N17" i="31"/>
  <c r="D35" i="31" s="1"/>
  <c r="D34" i="31" s="1"/>
  <c r="H16" i="42"/>
  <c r="G33" i="30"/>
  <c r="F34" i="30"/>
  <c r="F53" i="30"/>
  <c r="E54" i="30"/>
  <c r="K25" i="37"/>
  <c r="K32" i="43"/>
  <c r="G45" i="43" s="1"/>
  <c r="I18" i="42" s="1"/>
  <c r="L31" i="43"/>
  <c r="L24" i="43"/>
  <c r="K12" i="37"/>
  <c r="P11" i="43"/>
  <c r="M39" i="43" s="1"/>
  <c r="I46" i="43" s="1"/>
  <c r="K15" i="42" s="1"/>
  <c r="L34" i="27"/>
  <c r="L190" i="25"/>
  <c r="N30" i="25"/>
  <c r="O30" i="25" s="1"/>
  <c r="P30" i="25" s="1"/>
  <c r="Q30" i="25" s="1"/>
  <c r="R30" i="25" s="1"/>
  <c r="N145" i="25" s="1"/>
  <c r="J85" i="8"/>
  <c r="I135" i="3"/>
  <c r="O132" i="3"/>
  <c r="E34" i="22"/>
  <c r="E44" i="22" s="1"/>
  <c r="E54" i="22" s="1"/>
  <c r="E60" i="22" s="1"/>
  <c r="E31" i="22"/>
  <c r="D31" i="22" s="1"/>
  <c r="F21" i="22"/>
  <c r="L16" i="22"/>
  <c r="F14" i="30"/>
  <c r="J63" i="25"/>
  <c r="K97" i="25"/>
  <c r="K52" i="25"/>
  <c r="K75" i="25"/>
  <c r="M41" i="25"/>
  <c r="K86" i="25"/>
  <c r="E11" i="30"/>
  <c r="D12" i="30"/>
  <c r="E12" i="30" s="1"/>
  <c r="F12" i="30" s="1"/>
  <c r="G12" i="30" s="1"/>
  <c r="H12" i="30" s="1"/>
  <c r="I12" i="30" s="1"/>
  <c r="J12" i="30" s="1"/>
  <c r="K12" i="30" s="1"/>
  <c r="L12" i="30" s="1"/>
  <c r="M12" i="30" s="1"/>
  <c r="N12" i="30" s="1"/>
  <c r="P57" i="27"/>
  <c r="Q57" i="27" s="1"/>
  <c r="M48" i="23"/>
  <c r="M62" i="23"/>
  <c r="I39" i="3"/>
  <c r="J134" i="3" s="1"/>
  <c r="I38" i="3"/>
  <c r="J133" i="3" s="1"/>
  <c r="H40" i="3"/>
  <c r="I37" i="3"/>
  <c r="J132" i="3" s="1"/>
  <c r="M103" i="23" l="1"/>
  <c r="M121" i="23" s="1"/>
  <c r="H8" i="42" s="1"/>
  <c r="M107" i="23"/>
  <c r="N106" i="23"/>
  <c r="N109" i="23" s="1"/>
  <c r="N105" i="23"/>
  <c r="N108" i="23" s="1"/>
  <c r="N104" i="23"/>
  <c r="N107" i="23" s="1"/>
  <c r="G167" i="22"/>
  <c r="O10" i="43"/>
  <c r="L25" i="43" s="1"/>
  <c r="H44" i="43" s="1"/>
  <c r="J17" i="42" s="1"/>
  <c r="O102" i="23"/>
  <c r="O120" i="23" s="1"/>
  <c r="G7" i="2"/>
  <c r="J5" i="42"/>
  <c r="O25" i="25"/>
  <c r="O210" i="25"/>
  <c r="O11" i="45"/>
  <c r="L18" i="45" s="1"/>
  <c r="I7" i="37" s="1"/>
  <c r="O66" i="22"/>
  <c r="O67" i="22" s="1"/>
  <c r="O68" i="22" s="1"/>
  <c r="H155" i="3"/>
  <c r="Q32" i="46"/>
  <c r="D35" i="30"/>
  <c r="Q31" i="46"/>
  <c r="M32" i="46"/>
  <c r="D15" i="30"/>
  <c r="R32" i="46"/>
  <c r="S31" i="46"/>
  <c r="T32" i="46"/>
  <c r="L31" i="46"/>
  <c r="O31" i="46"/>
  <c r="P32" i="46"/>
  <c r="T31" i="46"/>
  <c r="N32" i="46"/>
  <c r="S32" i="46"/>
  <c r="L32" i="46"/>
  <c r="O32" i="46"/>
  <c r="D55" i="30"/>
  <c r="E55" i="30" s="1"/>
  <c r="F55" i="30" s="1"/>
  <c r="G55" i="30" s="1"/>
  <c r="H55" i="30" s="1"/>
  <c r="I55" i="30" s="1"/>
  <c r="J55" i="30" s="1"/>
  <c r="K55" i="30" s="1"/>
  <c r="L55" i="30" s="1"/>
  <c r="M55" i="30" s="1"/>
  <c r="N55" i="30" s="1"/>
  <c r="U31" i="46"/>
  <c r="R31" i="46"/>
  <c r="U32" i="46"/>
  <c r="P31" i="46"/>
  <c r="M31" i="46"/>
  <c r="N31" i="46"/>
  <c r="I23" i="28"/>
  <c r="H25" i="28"/>
  <c r="H33" i="30"/>
  <c r="G34" i="30"/>
  <c r="G53" i="30"/>
  <c r="F54" i="30"/>
  <c r="L25" i="37"/>
  <c r="I16" i="42"/>
  <c r="M31" i="43"/>
  <c r="L32" i="43"/>
  <c r="H45" i="43" s="1"/>
  <c r="J18" i="42" s="1"/>
  <c r="M24" i="43"/>
  <c r="L12" i="37"/>
  <c r="Q11" i="43"/>
  <c r="N39" i="43" s="1"/>
  <c r="J46" i="43" s="1"/>
  <c r="L15" i="42" s="1"/>
  <c r="J135" i="3"/>
  <c r="Q141" i="3" s="1"/>
  <c r="M34" i="27"/>
  <c r="M190" i="25"/>
  <c r="O145" i="25"/>
  <c r="N168" i="25"/>
  <c r="N156" i="25"/>
  <c r="N179" i="25"/>
  <c r="D30" i="31"/>
  <c r="D29" i="31" s="1"/>
  <c r="D44" i="31" s="1"/>
  <c r="C5" i="32" s="1"/>
  <c r="P141" i="3"/>
  <c r="M148" i="3" s="1"/>
  <c r="I154" i="3" s="1"/>
  <c r="O135" i="3"/>
  <c r="D60" i="22"/>
  <c r="E169" i="22"/>
  <c r="F169" i="22" s="1"/>
  <c r="G169" i="22" s="1"/>
  <c r="H169" i="22" s="1"/>
  <c r="I169" i="22" s="1"/>
  <c r="J169" i="22" s="1"/>
  <c r="K169" i="22" s="1"/>
  <c r="L169" i="22" s="1"/>
  <c r="M169" i="22" s="1"/>
  <c r="N169" i="22" s="1"/>
  <c r="F34" i="22"/>
  <c r="F44" i="22" s="1"/>
  <c r="F54" i="22" s="1"/>
  <c r="F60" i="22" s="1"/>
  <c r="F31" i="22"/>
  <c r="G21" i="22"/>
  <c r="M16" i="22"/>
  <c r="G14" i="30"/>
  <c r="H13" i="30"/>
  <c r="N41" i="25"/>
  <c r="O41" i="25" s="1"/>
  <c r="P41" i="25" s="1"/>
  <c r="Q41" i="25" s="1"/>
  <c r="R41" i="25" s="1"/>
  <c r="K63" i="25"/>
  <c r="L97" i="25"/>
  <c r="L75" i="25"/>
  <c r="L86" i="25"/>
  <c r="L52" i="25"/>
  <c r="J37" i="3"/>
  <c r="K132" i="3" s="1"/>
  <c r="I40" i="3"/>
  <c r="F11" i="30"/>
  <c r="N40" i="3"/>
  <c r="J38" i="3"/>
  <c r="K133" i="3" s="1"/>
  <c r="J39" i="3"/>
  <c r="K134" i="3" s="1"/>
  <c r="N62" i="23"/>
  <c r="N48" i="23"/>
  <c r="N55" i="23"/>
  <c r="N103" i="23" l="1"/>
  <c r="N121" i="23" s="1"/>
  <c r="I8" i="42" s="1"/>
  <c r="O105" i="23"/>
  <c r="O108" i="23" s="1"/>
  <c r="O106" i="23"/>
  <c r="O109" i="23" s="1"/>
  <c r="O104" i="23"/>
  <c r="O107" i="23" s="1"/>
  <c r="N148" i="3"/>
  <c r="J154" i="3" s="1"/>
  <c r="H167" i="22"/>
  <c r="E35" i="30"/>
  <c r="D38" i="30"/>
  <c r="E15" i="30"/>
  <c r="D18" i="30"/>
  <c r="J23" i="28"/>
  <c r="I25" i="28"/>
  <c r="P11" i="45"/>
  <c r="M18" i="45" s="1"/>
  <c r="J7" i="37" s="1"/>
  <c r="P10" i="43"/>
  <c r="M25" i="43" s="1"/>
  <c r="I44" i="43" s="1"/>
  <c r="K17" i="42" s="1"/>
  <c r="K5" i="42"/>
  <c r="H53" i="30"/>
  <c r="G54" i="30"/>
  <c r="I33" i="30"/>
  <c r="H34" i="30"/>
  <c r="M25" i="37"/>
  <c r="N24" i="43"/>
  <c r="J16" i="42"/>
  <c r="N31" i="43"/>
  <c r="M12" i="37"/>
  <c r="R11" i="43"/>
  <c r="O39" i="43" s="1"/>
  <c r="K46" i="43" s="1"/>
  <c r="M15" i="42" s="1"/>
  <c r="P66" i="22"/>
  <c r="P67" i="22" s="1"/>
  <c r="P68" i="22" s="1"/>
  <c r="P102" i="23"/>
  <c r="H7" i="2"/>
  <c r="P25" i="25"/>
  <c r="P210" i="25"/>
  <c r="N34" i="27"/>
  <c r="N190" i="25"/>
  <c r="O190" i="25" s="1"/>
  <c r="P190" i="25" s="1"/>
  <c r="O168" i="25"/>
  <c r="P145" i="25"/>
  <c r="O179" i="25"/>
  <c r="O156" i="25"/>
  <c r="K135" i="3"/>
  <c r="R141" i="3" s="1"/>
  <c r="O154" i="3"/>
  <c r="I155" i="3"/>
  <c r="H21" i="22"/>
  <c r="G31" i="22"/>
  <c r="G34" i="22"/>
  <c r="G44" i="22" s="1"/>
  <c r="G54" i="22" s="1"/>
  <c r="G60" i="22" s="1"/>
  <c r="N16" i="22"/>
  <c r="H14" i="30"/>
  <c r="I13" i="30"/>
  <c r="M97" i="25"/>
  <c r="L63" i="25"/>
  <c r="M86" i="25"/>
  <c r="M52" i="25"/>
  <c r="M75" i="25"/>
  <c r="O48" i="23"/>
  <c r="O62" i="23"/>
  <c r="K39" i="3"/>
  <c r="L134" i="3" s="1"/>
  <c r="K38" i="3"/>
  <c r="L133" i="3" s="1"/>
  <c r="G11" i="30"/>
  <c r="J40" i="3"/>
  <c r="K37" i="3"/>
  <c r="L132" i="3" s="1"/>
  <c r="O55" i="23"/>
  <c r="O103" i="23" l="1"/>
  <c r="O121" i="23" s="1"/>
  <c r="J8" i="42" s="1"/>
  <c r="J155" i="3"/>
  <c r="Q66" i="22"/>
  <c r="Q67" i="22" s="1"/>
  <c r="J167" i="22" s="1"/>
  <c r="I7" i="2"/>
  <c r="Q102" i="23"/>
  <c r="Q120" i="23" s="1"/>
  <c r="Q11" i="45"/>
  <c r="N18" i="45" s="1"/>
  <c r="K7" i="37" s="1"/>
  <c r="Q25" i="25"/>
  <c r="Q10" i="43"/>
  <c r="N32" i="43" s="1"/>
  <c r="J45" i="43" s="1"/>
  <c r="L18" i="42" s="1"/>
  <c r="Q210" i="25"/>
  <c r="L5" i="42"/>
  <c r="O148" i="3"/>
  <c r="K154" i="3" s="1"/>
  <c r="M32" i="43"/>
  <c r="I45" i="43" s="1"/>
  <c r="K18" i="42" s="1"/>
  <c r="K16" i="42" s="1"/>
  <c r="D19" i="30"/>
  <c r="D75" i="30"/>
  <c r="F15" i="30"/>
  <c r="E18" i="30"/>
  <c r="D39" i="30"/>
  <c r="D76" i="30"/>
  <c r="F35" i="30"/>
  <c r="E38" i="30"/>
  <c r="K23" i="28"/>
  <c r="J25" i="28"/>
  <c r="I53" i="30"/>
  <c r="H54" i="30"/>
  <c r="J33" i="30"/>
  <c r="I34" i="30"/>
  <c r="N25" i="37"/>
  <c r="O31" i="43"/>
  <c r="O24" i="43"/>
  <c r="N12" i="37"/>
  <c r="S11" i="43"/>
  <c r="P39" i="43" s="1"/>
  <c r="L46" i="43" s="1"/>
  <c r="N15" i="42" s="1"/>
  <c r="I167" i="22"/>
  <c r="P120" i="23"/>
  <c r="P105" i="23"/>
  <c r="P108" i="23" s="1"/>
  <c r="P106" i="23"/>
  <c r="P109" i="23" s="1"/>
  <c r="P104" i="23"/>
  <c r="O34" i="27"/>
  <c r="P179" i="25"/>
  <c r="P168" i="25"/>
  <c r="Q145" i="25"/>
  <c r="Q190" i="25"/>
  <c r="P156" i="25"/>
  <c r="L135" i="3"/>
  <c r="S141" i="3" s="1"/>
  <c r="P148" i="3" s="1"/>
  <c r="L154" i="3" s="1"/>
  <c r="H31" i="22"/>
  <c r="H34" i="22"/>
  <c r="H44" i="22" s="1"/>
  <c r="H54" i="22" s="1"/>
  <c r="H60" i="22" s="1"/>
  <c r="I21" i="22"/>
  <c r="O16" i="22"/>
  <c r="I14" i="30"/>
  <c r="J13" i="30"/>
  <c r="D6" i="2"/>
  <c r="L81" i="25"/>
  <c r="L70" i="25"/>
  <c r="I76" i="25" s="1"/>
  <c r="D108" i="25" s="1"/>
  <c r="L47" i="25"/>
  <c r="I53" i="25" s="1"/>
  <c r="D105" i="25" s="1"/>
  <c r="L58" i="25"/>
  <c r="I64" i="25" s="1"/>
  <c r="D106" i="25" s="1"/>
  <c r="L36" i="25"/>
  <c r="I42" i="25" s="1"/>
  <c r="D104" i="25" s="1"/>
  <c r="I31" i="25"/>
  <c r="D103" i="25" s="1"/>
  <c r="M63" i="25"/>
  <c r="L10" i="22"/>
  <c r="L10" i="27"/>
  <c r="L9" i="23"/>
  <c r="L64" i="27"/>
  <c r="I71" i="27" s="1"/>
  <c r="E96" i="27" s="1"/>
  <c r="P55" i="23"/>
  <c r="K40" i="3"/>
  <c r="L37" i="3"/>
  <c r="M132" i="3" s="1"/>
  <c r="H11" i="30"/>
  <c r="L38" i="3"/>
  <c r="M133" i="3" s="1"/>
  <c r="L39" i="3"/>
  <c r="M134" i="3" s="1"/>
  <c r="P62" i="23"/>
  <c r="P48" i="23"/>
  <c r="Q105" i="23" l="1"/>
  <c r="Q108" i="23" s="1"/>
  <c r="Q104" i="23"/>
  <c r="Q107" i="23" s="1"/>
  <c r="Q106" i="23"/>
  <c r="Q109" i="23" s="1"/>
  <c r="N25" i="43"/>
  <c r="J44" i="43" s="1"/>
  <c r="L17" i="42" s="1"/>
  <c r="L16" i="42" s="1"/>
  <c r="Q68" i="22"/>
  <c r="R11" i="45"/>
  <c r="O18" i="45" s="1"/>
  <c r="L7" i="37" s="1"/>
  <c r="R102" i="23"/>
  <c r="R105" i="23" s="1"/>
  <c r="R108" i="23" s="1"/>
  <c r="R10" i="43"/>
  <c r="O25" i="43" s="1"/>
  <c r="K44" i="43" s="1"/>
  <c r="M17" i="42" s="1"/>
  <c r="M5" i="42"/>
  <c r="K155" i="3"/>
  <c r="R210" i="25"/>
  <c r="J7" i="2"/>
  <c r="R66" i="22"/>
  <c r="R67" i="22" s="1"/>
  <c r="K167" i="22" s="1"/>
  <c r="R25" i="25"/>
  <c r="G35" i="30"/>
  <c r="F38" i="30"/>
  <c r="E75" i="30"/>
  <c r="E19" i="30"/>
  <c r="G15" i="30"/>
  <c r="F18" i="30"/>
  <c r="E76" i="30"/>
  <c r="E39" i="30"/>
  <c r="L23" i="28"/>
  <c r="K25" i="28"/>
  <c r="S11" i="45"/>
  <c r="P18" i="45" s="1"/>
  <c r="M7" i="37" s="1"/>
  <c r="S10" i="43"/>
  <c r="N5" i="42"/>
  <c r="K33" i="30"/>
  <c r="J34" i="30"/>
  <c r="J53" i="30"/>
  <c r="I54" i="30"/>
  <c r="O25" i="37"/>
  <c r="P31" i="43"/>
  <c r="P24" i="43"/>
  <c r="O12" i="37"/>
  <c r="U11" i="43" s="1"/>
  <c r="R39" i="43" s="1"/>
  <c r="N46" i="43" s="1"/>
  <c r="P15" i="42" s="1"/>
  <c r="T11" i="43"/>
  <c r="Q39" i="43" s="1"/>
  <c r="M46" i="43" s="1"/>
  <c r="O15" i="42" s="1"/>
  <c r="P103" i="23"/>
  <c r="P121" i="23" s="1"/>
  <c r="K8" i="42" s="1"/>
  <c r="P107" i="23"/>
  <c r="S66" i="22"/>
  <c r="S67" i="22" s="1"/>
  <c r="S68" i="22" s="1"/>
  <c r="S102" i="23"/>
  <c r="E172" i="22"/>
  <c r="E173" i="22"/>
  <c r="L155" i="3"/>
  <c r="K7" i="2"/>
  <c r="S25" i="25"/>
  <c r="S210" i="25"/>
  <c r="I16" i="27"/>
  <c r="E22" i="27" s="1"/>
  <c r="E41" i="27" s="1"/>
  <c r="L29" i="27"/>
  <c r="I35" i="27" s="1"/>
  <c r="P34" i="27"/>
  <c r="R145" i="25"/>
  <c r="Q179" i="25"/>
  <c r="R190" i="25"/>
  <c r="Q168" i="25"/>
  <c r="Q156" i="25"/>
  <c r="I87" i="25"/>
  <c r="D109" i="25" s="1"/>
  <c r="L92" i="25"/>
  <c r="I98" i="25" s="1"/>
  <c r="D110" i="25" s="1"/>
  <c r="D107" i="25"/>
  <c r="M135" i="3"/>
  <c r="T141" i="3" s="1"/>
  <c r="Q148" i="3" s="1"/>
  <c r="M154" i="3" s="1"/>
  <c r="I17" i="22"/>
  <c r="E164" i="22" s="1"/>
  <c r="I34" i="22"/>
  <c r="I44" i="22" s="1"/>
  <c r="I54" i="22" s="1"/>
  <c r="I60" i="22" s="1"/>
  <c r="I31" i="22"/>
  <c r="J21" i="22"/>
  <c r="P16" i="22"/>
  <c r="J14" i="30"/>
  <c r="K13" i="30"/>
  <c r="F4" i="36"/>
  <c r="F45" i="36" s="1"/>
  <c r="M10" i="27"/>
  <c r="M58" i="25"/>
  <c r="J64" i="25" s="1"/>
  <c r="E106" i="25" s="1"/>
  <c r="M36" i="25"/>
  <c r="J42" i="25" s="1"/>
  <c r="E104" i="25" s="1"/>
  <c r="J31" i="25"/>
  <c r="E103" i="25" s="1"/>
  <c r="M81" i="25"/>
  <c r="M70" i="25"/>
  <c r="J76" i="25" s="1"/>
  <c r="E108" i="25" s="1"/>
  <c r="M47" i="25"/>
  <c r="J53" i="25" s="1"/>
  <c r="E105" i="25" s="1"/>
  <c r="L218" i="25"/>
  <c r="L214" i="25"/>
  <c r="H10" i="25" s="1"/>
  <c r="F9" i="37" s="1"/>
  <c r="L217" i="25"/>
  <c r="H14" i="25" s="1"/>
  <c r="F21" i="37" s="1"/>
  <c r="L213" i="25"/>
  <c r="H9" i="25" s="1"/>
  <c r="F8" i="37" s="1"/>
  <c r="L216" i="25"/>
  <c r="H12" i="25" s="1"/>
  <c r="F14" i="37" s="1"/>
  <c r="L219" i="25"/>
  <c r="F18" i="23"/>
  <c r="F20" i="23" s="1"/>
  <c r="L38" i="23"/>
  <c r="L70" i="23" s="1"/>
  <c r="M64" i="27"/>
  <c r="J71" i="27" s="1"/>
  <c r="F96" i="27" s="1"/>
  <c r="E6" i="2"/>
  <c r="M9" i="23"/>
  <c r="M10" i="22"/>
  <c r="F23" i="22"/>
  <c r="F25" i="22" s="1"/>
  <c r="Q48" i="23"/>
  <c r="Q62" i="23"/>
  <c r="I11" i="30"/>
  <c r="Q55" i="23"/>
  <c r="M39" i="3"/>
  <c r="N134" i="3" s="1"/>
  <c r="P134" i="3" s="1"/>
  <c r="M38" i="3"/>
  <c r="N133" i="3" s="1"/>
  <c r="P133" i="3" s="1"/>
  <c r="M37" i="3"/>
  <c r="N132" i="3" s="1"/>
  <c r="L40" i="3"/>
  <c r="Q103" i="23" l="1"/>
  <c r="Q121" i="23" s="1"/>
  <c r="L8" i="42" s="1"/>
  <c r="R104" i="23"/>
  <c r="R107" i="23" s="1"/>
  <c r="R106" i="23"/>
  <c r="R109" i="23" s="1"/>
  <c r="R120" i="23"/>
  <c r="O32" i="43"/>
  <c r="K45" i="43" s="1"/>
  <c r="M18" i="42" s="1"/>
  <c r="M16" i="42" s="1"/>
  <c r="E170" i="22"/>
  <c r="E181" i="22"/>
  <c r="G6" i="42" s="1"/>
  <c r="G7" i="42" s="1"/>
  <c r="G12" i="42" s="1"/>
  <c r="R68" i="22"/>
  <c r="E40" i="27"/>
  <c r="E44" i="27" s="1"/>
  <c r="K40" i="39" s="1"/>
  <c r="K41" i="39" s="1"/>
  <c r="F19" i="30"/>
  <c r="F75" i="30"/>
  <c r="H15" i="30"/>
  <c r="G18" i="30"/>
  <c r="F76" i="30"/>
  <c r="F39" i="30"/>
  <c r="H35" i="30"/>
  <c r="G38" i="30"/>
  <c r="M23" i="28"/>
  <c r="L25" i="28"/>
  <c r="T11" i="45"/>
  <c r="Q18" i="45" s="1"/>
  <c r="N7" i="37" s="1"/>
  <c r="T10" i="43"/>
  <c r="O5" i="42"/>
  <c r="E23" i="27"/>
  <c r="K53" i="30"/>
  <c r="J54" i="30"/>
  <c r="L33" i="30"/>
  <c r="K34" i="30"/>
  <c r="P25" i="43"/>
  <c r="L44" i="43" s="1"/>
  <c r="N17" i="42" s="1"/>
  <c r="Q24" i="43"/>
  <c r="Q31" i="43"/>
  <c r="P32" i="43"/>
  <c r="L45" i="43" s="1"/>
  <c r="N18" i="42" s="1"/>
  <c r="T66" i="22"/>
  <c r="T67" i="22" s="1"/>
  <c r="M167" i="22" s="1"/>
  <c r="T102" i="23"/>
  <c r="L167" i="22"/>
  <c r="S120" i="23"/>
  <c r="S105" i="23"/>
  <c r="S108" i="23" s="1"/>
  <c r="S106" i="23"/>
  <c r="S109" i="23" s="1"/>
  <c r="S104" i="23"/>
  <c r="F172" i="22"/>
  <c r="F173" i="22"/>
  <c r="M155" i="3"/>
  <c r="L7" i="2"/>
  <c r="T25" i="25"/>
  <c r="T210" i="25"/>
  <c r="Q34" i="27"/>
  <c r="J16" i="27"/>
  <c r="F40" i="27" s="1"/>
  <c r="F44" i="27" s="1"/>
  <c r="L40" i="39" s="1"/>
  <c r="L41" i="39" s="1"/>
  <c r="M29" i="27"/>
  <c r="J35" i="27" s="1"/>
  <c r="H16" i="25"/>
  <c r="F26" i="37" s="1"/>
  <c r="H15" i="25"/>
  <c r="F22" i="37" s="1"/>
  <c r="R156" i="25"/>
  <c r="R168" i="25"/>
  <c r="R179" i="25"/>
  <c r="E107" i="25"/>
  <c r="D111" i="25"/>
  <c r="D112" i="25" s="1"/>
  <c r="J87" i="25"/>
  <c r="E109" i="25" s="1"/>
  <c r="M92" i="25"/>
  <c r="J98" i="25" s="1"/>
  <c r="E110" i="25" s="1"/>
  <c r="P132" i="3"/>
  <c r="N135" i="3"/>
  <c r="F47" i="36"/>
  <c r="J17" i="22"/>
  <c r="F164" i="22" s="1"/>
  <c r="J34" i="22"/>
  <c r="J44" i="22" s="1"/>
  <c r="J54" i="22" s="1"/>
  <c r="J60" i="22" s="1"/>
  <c r="J31" i="22"/>
  <c r="K21" i="22"/>
  <c r="Q16" i="22"/>
  <c r="F44" i="36"/>
  <c r="F41" i="36"/>
  <c r="F39" i="36"/>
  <c r="F42" i="36"/>
  <c r="L13" i="30"/>
  <c r="K14" i="30"/>
  <c r="F43" i="36"/>
  <c r="F48" i="36"/>
  <c r="F46" i="36"/>
  <c r="F28" i="36"/>
  <c r="F40" i="36"/>
  <c r="N10" i="27"/>
  <c r="N36" i="25"/>
  <c r="K42" i="25" s="1"/>
  <c r="F104" i="25" s="1"/>
  <c r="N58" i="25"/>
  <c r="K64" i="25" s="1"/>
  <c r="F106" i="25" s="1"/>
  <c r="N81" i="25"/>
  <c r="N70" i="25"/>
  <c r="K76" i="25" s="1"/>
  <c r="F108" i="25" s="1"/>
  <c r="N47" i="25"/>
  <c r="K53" i="25" s="1"/>
  <c r="F105" i="25" s="1"/>
  <c r="K31" i="25"/>
  <c r="F103" i="25" s="1"/>
  <c r="M217" i="25"/>
  <c r="I14" i="25" s="1"/>
  <c r="G21" i="37" s="1"/>
  <c r="M213" i="25"/>
  <c r="I9" i="25" s="1"/>
  <c r="G8" i="37" s="1"/>
  <c r="M216" i="25"/>
  <c r="I12" i="25" s="1"/>
  <c r="G14" i="37" s="1"/>
  <c r="M219" i="25"/>
  <c r="M218" i="25"/>
  <c r="M214" i="25"/>
  <c r="I10" i="25" s="1"/>
  <c r="G9" i="37" s="1"/>
  <c r="G4" i="36"/>
  <c r="G18" i="23"/>
  <c r="G20" i="23" s="1"/>
  <c r="F32" i="23"/>
  <c r="F24" i="23"/>
  <c r="F28" i="23"/>
  <c r="I56" i="23"/>
  <c r="L40" i="23" s="1"/>
  <c r="E115" i="23" s="1"/>
  <c r="L123" i="23" s="1"/>
  <c r="M38" i="23"/>
  <c r="I49" i="23"/>
  <c r="L39" i="23" s="1"/>
  <c r="E114" i="23" s="1"/>
  <c r="L122" i="23" s="1"/>
  <c r="I63" i="23"/>
  <c r="L41" i="23" s="1"/>
  <c r="F6" i="2"/>
  <c r="G23" i="22"/>
  <c r="G25" i="22" s="1"/>
  <c r="E23" i="22" s="1"/>
  <c r="N64" i="27"/>
  <c r="K71" i="27" s="1"/>
  <c r="G96" i="27" s="1"/>
  <c r="N10" i="22"/>
  <c r="N9" i="23"/>
  <c r="J11" i="30"/>
  <c r="M40" i="3"/>
  <c r="E36" i="22" l="1"/>
  <c r="E40" i="22"/>
  <c r="F40" i="22" s="1"/>
  <c r="E39" i="22"/>
  <c r="F39" i="22" s="1"/>
  <c r="E38" i="22"/>
  <c r="E32" i="22"/>
  <c r="E25" i="22"/>
  <c r="E35" i="22" s="1"/>
  <c r="F35" i="22" s="1"/>
  <c r="G35" i="22" s="1"/>
  <c r="R103" i="23"/>
  <c r="R121" i="23" s="1"/>
  <c r="M8" i="42" s="1"/>
  <c r="D18" i="2"/>
  <c r="L51" i="27"/>
  <c r="I58" i="27" s="1"/>
  <c r="E95" i="27" s="1"/>
  <c r="F170" i="22"/>
  <c r="F181" i="22"/>
  <c r="H6" i="42" s="1"/>
  <c r="H7" i="42" s="1"/>
  <c r="H12" i="42" s="1"/>
  <c r="E116" i="23"/>
  <c r="L124" i="23" s="1"/>
  <c r="I35" i="30"/>
  <c r="H38" i="30"/>
  <c r="G19" i="30"/>
  <c r="G75" i="30"/>
  <c r="I15" i="30"/>
  <c r="H18" i="30"/>
  <c r="G39" i="30"/>
  <c r="G76" i="30"/>
  <c r="Q25" i="43"/>
  <c r="M44" i="43" s="1"/>
  <c r="O17" i="42" s="1"/>
  <c r="N23" i="28"/>
  <c r="N25" i="28" s="1"/>
  <c r="M25" i="28"/>
  <c r="Q32" i="43"/>
  <c r="M45" i="43" s="1"/>
  <c r="O18" i="42" s="1"/>
  <c r="L53" i="30"/>
  <c r="K54" i="30"/>
  <c r="M33" i="30"/>
  <c r="L34" i="30"/>
  <c r="N16" i="42"/>
  <c r="L125" i="23"/>
  <c r="G9" i="42"/>
  <c r="L126" i="23"/>
  <c r="G10" i="42"/>
  <c r="T68" i="22"/>
  <c r="F22" i="27"/>
  <c r="F23" i="27" s="1"/>
  <c r="T120" i="23"/>
  <c r="T104" i="23"/>
  <c r="T105" i="23"/>
  <c r="T108" i="23" s="1"/>
  <c r="T106" i="23"/>
  <c r="T109" i="23" s="1"/>
  <c r="S107" i="23"/>
  <c r="S103" i="23"/>
  <c r="S121" i="23" s="1"/>
  <c r="N8" i="42" s="1"/>
  <c r="G172" i="22"/>
  <c r="G173" i="22"/>
  <c r="J49" i="23"/>
  <c r="M39" i="23" s="1"/>
  <c r="M70" i="23"/>
  <c r="K16" i="27"/>
  <c r="G22" i="27" s="1"/>
  <c r="G23" i="27" s="1"/>
  <c r="N29" i="27"/>
  <c r="K35" i="27" s="1"/>
  <c r="E18" i="2"/>
  <c r="I16" i="25"/>
  <c r="G26" i="37" s="1"/>
  <c r="I15" i="25"/>
  <c r="E111" i="25"/>
  <c r="E112" i="25" s="1"/>
  <c r="F107" i="25"/>
  <c r="K87" i="25"/>
  <c r="F109" i="25" s="1"/>
  <c r="N92" i="25"/>
  <c r="K98" i="25" s="1"/>
  <c r="F110" i="25" s="1"/>
  <c r="P135" i="3"/>
  <c r="U141" i="3"/>
  <c r="R148" i="3" s="1"/>
  <c r="N154" i="3" s="1"/>
  <c r="G40" i="22"/>
  <c r="G39" i="22"/>
  <c r="K17" i="22"/>
  <c r="G164" i="22" s="1"/>
  <c r="L21" i="22"/>
  <c r="K34" i="22"/>
  <c r="K44" i="22" s="1"/>
  <c r="K54" i="22" s="1"/>
  <c r="K60" i="22" s="1"/>
  <c r="K31" i="22"/>
  <c r="L14" i="30"/>
  <c r="M13" i="30"/>
  <c r="L31" i="25"/>
  <c r="G103" i="25" s="1"/>
  <c r="O81" i="25"/>
  <c r="O70" i="25"/>
  <c r="L76" i="25" s="1"/>
  <c r="G108" i="25" s="1"/>
  <c r="O47" i="25"/>
  <c r="L53" i="25" s="1"/>
  <c r="G105" i="25" s="1"/>
  <c r="O58" i="25"/>
  <c r="L64" i="25" s="1"/>
  <c r="G106" i="25" s="1"/>
  <c r="O36" i="25"/>
  <c r="L42" i="25" s="1"/>
  <c r="G104" i="25" s="1"/>
  <c r="H17" i="25"/>
  <c r="N216" i="25"/>
  <c r="J12" i="25" s="1"/>
  <c r="H14" i="37" s="1"/>
  <c r="N219" i="25"/>
  <c r="N218" i="25"/>
  <c r="N214" i="25"/>
  <c r="J10" i="25" s="1"/>
  <c r="H9" i="37" s="1"/>
  <c r="N217" i="25"/>
  <c r="J14" i="25" s="1"/>
  <c r="H21" i="37" s="1"/>
  <c r="N213" i="25"/>
  <c r="J9" i="25" s="1"/>
  <c r="H8" i="37" s="1"/>
  <c r="H4" i="36"/>
  <c r="G45" i="36"/>
  <c r="G41" i="36"/>
  <c r="G48" i="36"/>
  <c r="G44" i="36"/>
  <c r="G40" i="36"/>
  <c r="G47" i="36"/>
  <c r="G43" i="36"/>
  <c r="G39" i="36"/>
  <c r="G28" i="36"/>
  <c r="G46" i="36"/>
  <c r="G42" i="36"/>
  <c r="L43" i="23"/>
  <c r="D12" i="2"/>
  <c r="L44" i="23"/>
  <c r="L42" i="23"/>
  <c r="D11" i="2"/>
  <c r="G32" i="23"/>
  <c r="G33" i="23" s="1"/>
  <c r="F33" i="23"/>
  <c r="G28" i="23"/>
  <c r="G29" i="23" s="1"/>
  <c r="F29" i="23"/>
  <c r="G24" i="23"/>
  <c r="G25" i="23" s="1"/>
  <c r="F25" i="23"/>
  <c r="H18" i="23"/>
  <c r="H20" i="23" s="1"/>
  <c r="J56" i="23"/>
  <c r="M40" i="23" s="1"/>
  <c r="F115" i="23" s="1"/>
  <c r="M123" i="23" s="1"/>
  <c r="J63" i="23"/>
  <c r="M41" i="23" s="1"/>
  <c r="F116" i="23" s="1"/>
  <c r="M124" i="23" s="1"/>
  <c r="I65" i="23"/>
  <c r="N38" i="23"/>
  <c r="G6" i="2"/>
  <c r="O10" i="27"/>
  <c r="O9" i="23"/>
  <c r="O10" i="22"/>
  <c r="O64" i="27"/>
  <c r="L71" i="27" s="1"/>
  <c r="H96" i="27" s="1"/>
  <c r="H23" i="22"/>
  <c r="H25" i="22" s="1"/>
  <c r="O40" i="3"/>
  <c r="E99" i="27"/>
  <c r="G13" i="42" s="1"/>
  <c r="G14" i="42" s="1"/>
  <c r="K11" i="30"/>
  <c r="F32" i="22" l="1"/>
  <c r="E55" i="22"/>
  <c r="F38" i="22"/>
  <c r="E41" i="22"/>
  <c r="F36" i="22"/>
  <c r="E37" i="22"/>
  <c r="M51" i="27"/>
  <c r="J58" i="27" s="1"/>
  <c r="F95" i="27" s="1"/>
  <c r="F99" i="27" s="1"/>
  <c r="L36" i="39" s="1"/>
  <c r="L37" i="39" s="1"/>
  <c r="L43" i="39" s="1"/>
  <c r="G170" i="22"/>
  <c r="G181" i="22"/>
  <c r="I6" i="42" s="1"/>
  <c r="I7" i="42" s="1"/>
  <c r="I12" i="42" s="1"/>
  <c r="G11" i="42"/>
  <c r="L127" i="23"/>
  <c r="L128" i="23" s="1"/>
  <c r="D13" i="2"/>
  <c r="D10" i="2" s="1"/>
  <c r="H19" i="30"/>
  <c r="H75" i="30"/>
  <c r="J15" i="30"/>
  <c r="I18" i="30"/>
  <c r="H39" i="30"/>
  <c r="H76" i="30"/>
  <c r="J35" i="30"/>
  <c r="I38" i="30"/>
  <c r="O16" i="42"/>
  <c r="F41" i="27"/>
  <c r="U11" i="45"/>
  <c r="R18" i="45" s="1"/>
  <c r="O7" i="37" s="1"/>
  <c r="U10" i="43"/>
  <c r="P5" i="42"/>
  <c r="N33" i="30"/>
  <c r="N34" i="30" s="1"/>
  <c r="M34" i="30"/>
  <c r="M53" i="30"/>
  <c r="L54" i="30"/>
  <c r="M127" i="23"/>
  <c r="H11" i="42"/>
  <c r="M126" i="23"/>
  <c r="H10" i="42"/>
  <c r="M14" i="30"/>
  <c r="N13" i="30"/>
  <c r="U66" i="22"/>
  <c r="U67" i="22" s="1"/>
  <c r="U68" i="22" s="1"/>
  <c r="U102" i="23"/>
  <c r="T107" i="23"/>
  <c r="T103" i="23"/>
  <c r="T121" i="23" s="1"/>
  <c r="O8" i="42" s="1"/>
  <c r="I36" i="27"/>
  <c r="E42" i="27" s="1"/>
  <c r="F13" i="37"/>
  <c r="I17" i="25"/>
  <c r="G22" i="37"/>
  <c r="F114" i="23"/>
  <c r="H172" i="22"/>
  <c r="H173" i="22"/>
  <c r="G41" i="27"/>
  <c r="M42" i="23"/>
  <c r="G40" i="27"/>
  <c r="G44" i="27" s="1"/>
  <c r="M7" i="2"/>
  <c r="U25" i="25"/>
  <c r="U210" i="25"/>
  <c r="K49" i="23"/>
  <c r="N39" i="23" s="1"/>
  <c r="N70" i="23"/>
  <c r="L72" i="23"/>
  <c r="L75" i="23" s="1"/>
  <c r="L71" i="23"/>
  <c r="L74" i="23" s="1"/>
  <c r="E13" i="2"/>
  <c r="L16" i="27"/>
  <c r="H40" i="27" s="1"/>
  <c r="H44" i="27" s="1"/>
  <c r="N40" i="39" s="1"/>
  <c r="N41" i="39" s="1"/>
  <c r="O29" i="27"/>
  <c r="L35" i="27" s="1"/>
  <c r="J16" i="25"/>
  <c r="H26" i="37" s="1"/>
  <c r="J15" i="25"/>
  <c r="F111" i="25"/>
  <c r="F112" i="25" s="1"/>
  <c r="L87" i="25"/>
  <c r="G109" i="25" s="1"/>
  <c r="O92" i="25"/>
  <c r="L98" i="25" s="1"/>
  <c r="G110" i="25" s="1"/>
  <c r="G107" i="25"/>
  <c r="K36" i="39"/>
  <c r="K37" i="39" s="1"/>
  <c r="K43" i="39" s="1"/>
  <c r="K60" i="39"/>
  <c r="P154" i="3"/>
  <c r="N155" i="3"/>
  <c r="D17" i="2"/>
  <c r="H39" i="22"/>
  <c r="H35" i="22"/>
  <c r="H40" i="22"/>
  <c r="I18" i="23"/>
  <c r="I20" i="23" s="1"/>
  <c r="L17" i="22"/>
  <c r="H164" i="22" s="1"/>
  <c r="L34" i="22"/>
  <c r="L44" i="22" s="1"/>
  <c r="L54" i="22" s="1"/>
  <c r="L60" i="22" s="1"/>
  <c r="M21" i="22"/>
  <c r="L31" i="22"/>
  <c r="O219" i="25"/>
  <c r="O218" i="25"/>
  <c r="O214" i="25"/>
  <c r="K10" i="25" s="1"/>
  <c r="I9" i="37" s="1"/>
  <c r="O217" i="25"/>
  <c r="O213" i="25"/>
  <c r="K9" i="25" s="1"/>
  <c r="I8" i="37" s="1"/>
  <c r="O216" i="25"/>
  <c r="K12" i="25" s="1"/>
  <c r="I14" i="37" s="1"/>
  <c r="I4" i="36"/>
  <c r="H48" i="36"/>
  <c r="H44" i="36"/>
  <c r="H40" i="36"/>
  <c r="H47" i="36"/>
  <c r="H43" i="36"/>
  <c r="H39" i="36"/>
  <c r="H28" i="36"/>
  <c r="H46" i="36"/>
  <c r="H42" i="36"/>
  <c r="H45" i="36"/>
  <c r="H41" i="36"/>
  <c r="M44" i="23"/>
  <c r="M43" i="23"/>
  <c r="E12" i="2"/>
  <c r="H24" i="23"/>
  <c r="H25" i="23" s="1"/>
  <c r="H32" i="23"/>
  <c r="H33" i="23" s="1"/>
  <c r="H28" i="23"/>
  <c r="J65" i="23"/>
  <c r="K63" i="23"/>
  <c r="N41" i="23" s="1"/>
  <c r="G116" i="23" s="1"/>
  <c r="N124" i="23" s="1"/>
  <c r="K56" i="23"/>
  <c r="N40" i="23" s="1"/>
  <c r="G115" i="23" s="1"/>
  <c r="N123" i="23" s="1"/>
  <c r="L11" i="30"/>
  <c r="O38" i="23"/>
  <c r="O70" i="23" s="1"/>
  <c r="E42" i="22" l="1"/>
  <c r="F37" i="22"/>
  <c r="G36" i="22"/>
  <c r="G38" i="22"/>
  <c r="F41" i="22"/>
  <c r="F42" i="22" s="1"/>
  <c r="F49" i="22" s="1"/>
  <c r="G32" i="22"/>
  <c r="F55" i="22"/>
  <c r="E17" i="2"/>
  <c r="H13" i="42"/>
  <c r="H14" i="42" s="1"/>
  <c r="J36" i="27"/>
  <c r="F42" i="27" s="1"/>
  <c r="N51" i="27"/>
  <c r="K58" i="27" s="1"/>
  <c r="G95" i="27" s="1"/>
  <c r="H170" i="22"/>
  <c r="H181" i="22"/>
  <c r="J6" i="42" s="1"/>
  <c r="J7" i="42" s="1"/>
  <c r="J12" i="42" s="1"/>
  <c r="K35" i="30"/>
  <c r="J38" i="30"/>
  <c r="I75" i="30"/>
  <c r="I19" i="30"/>
  <c r="K15" i="30"/>
  <c r="J18" i="30"/>
  <c r="I76" i="30"/>
  <c r="I39" i="30"/>
  <c r="R25" i="43"/>
  <c r="N44" i="43" s="1"/>
  <c r="P17" i="42" s="1"/>
  <c r="R32" i="43"/>
  <c r="N45" i="43" s="1"/>
  <c r="P18" i="42" s="1"/>
  <c r="N53" i="30"/>
  <c r="N54" i="30" s="1"/>
  <c r="M54" i="30"/>
  <c r="N127" i="23"/>
  <c r="I11" i="42"/>
  <c r="M27" i="2"/>
  <c r="N14" i="30"/>
  <c r="N126" i="23"/>
  <c r="I10" i="42"/>
  <c r="N167" i="22"/>
  <c r="U120" i="23"/>
  <c r="U104" i="23"/>
  <c r="U105" i="23"/>
  <c r="U108" i="23" s="1"/>
  <c r="U106" i="23"/>
  <c r="U109" i="23" s="1"/>
  <c r="J17" i="25"/>
  <c r="H22" i="37"/>
  <c r="G13" i="37"/>
  <c r="F11" i="37"/>
  <c r="M40" i="39"/>
  <c r="M41" i="39" s="1"/>
  <c r="E11" i="2"/>
  <c r="E10" i="2" s="1"/>
  <c r="M122" i="23"/>
  <c r="G114" i="23"/>
  <c r="H22" i="27"/>
  <c r="H23" i="27" s="1"/>
  <c r="F18" i="2"/>
  <c r="N42" i="23"/>
  <c r="M75" i="23"/>
  <c r="M74" i="23"/>
  <c r="L73" i="23"/>
  <c r="L76" i="23" s="1"/>
  <c r="F13" i="2"/>
  <c r="K16" i="25"/>
  <c r="I26" i="37" s="1"/>
  <c r="K14" i="25"/>
  <c r="I21" i="37" s="1"/>
  <c r="K15" i="25"/>
  <c r="I22" i="37" s="1"/>
  <c r="G111" i="25"/>
  <c r="G112" i="25" s="1"/>
  <c r="K59" i="39"/>
  <c r="L60" i="39"/>
  <c r="F45" i="22"/>
  <c r="F46" i="22"/>
  <c r="M34" i="22"/>
  <c r="M44" i="22" s="1"/>
  <c r="M54" i="22" s="1"/>
  <c r="M60" i="22" s="1"/>
  <c r="M31" i="22"/>
  <c r="N21" i="22"/>
  <c r="G18" i="2"/>
  <c r="P81" i="25"/>
  <c r="P70" i="25"/>
  <c r="M76" i="25" s="1"/>
  <c r="H108" i="25" s="1"/>
  <c r="P47" i="25"/>
  <c r="M53" i="25" s="1"/>
  <c r="H105" i="25" s="1"/>
  <c r="P36" i="25"/>
  <c r="M42" i="25" s="1"/>
  <c r="H104" i="25" s="1"/>
  <c r="P58" i="25"/>
  <c r="M64" i="25" s="1"/>
  <c r="H106" i="25" s="1"/>
  <c r="M31" i="25"/>
  <c r="H103" i="25" s="1"/>
  <c r="Q10" i="27"/>
  <c r="Q58" i="25"/>
  <c r="Q36" i="25"/>
  <c r="Q81" i="25"/>
  <c r="Q92" i="25" s="1"/>
  <c r="Q70" i="25"/>
  <c r="Q47" i="25"/>
  <c r="F8" i="36"/>
  <c r="F32" i="36" s="1"/>
  <c r="F9" i="36"/>
  <c r="F33" i="36" s="1"/>
  <c r="G8" i="36"/>
  <c r="G32" i="36" s="1"/>
  <c r="G12" i="36"/>
  <c r="G36" i="36" s="1"/>
  <c r="F12" i="36"/>
  <c r="F36" i="36" s="1"/>
  <c r="E117" i="23"/>
  <c r="I47" i="36"/>
  <c r="I43" i="36"/>
  <c r="I39" i="36"/>
  <c r="I28" i="36"/>
  <c r="I46" i="36"/>
  <c r="I42" i="36"/>
  <c r="I45" i="36"/>
  <c r="I41" i="36"/>
  <c r="I48" i="36"/>
  <c r="I44" i="36"/>
  <c r="I40" i="36"/>
  <c r="N44" i="23"/>
  <c r="N43" i="23"/>
  <c r="F12" i="2"/>
  <c r="I28" i="23"/>
  <c r="I29" i="23" s="1"/>
  <c r="H29" i="23"/>
  <c r="I24" i="23"/>
  <c r="I25" i="23" s="1"/>
  <c r="I32" i="23"/>
  <c r="I33" i="23" s="1"/>
  <c r="K65" i="23"/>
  <c r="Q64" i="27"/>
  <c r="N71" i="27" s="1"/>
  <c r="J96" i="27" s="1"/>
  <c r="Q9" i="23"/>
  <c r="Q10" i="22"/>
  <c r="O51" i="27"/>
  <c r="L58" i="27" s="1"/>
  <c r="H95" i="27" s="1"/>
  <c r="L56" i="23"/>
  <c r="O40" i="23" s="1"/>
  <c r="H115" i="23" s="1"/>
  <c r="O123" i="23" s="1"/>
  <c r="L49" i="23"/>
  <c r="O39" i="23" s="1"/>
  <c r="H114" i="23" s="1"/>
  <c r="O122" i="23" s="1"/>
  <c r="L63" i="23"/>
  <c r="O41" i="23" s="1"/>
  <c r="H116" i="23" s="1"/>
  <c r="O124" i="23" s="1"/>
  <c r="H6" i="2"/>
  <c r="P64" i="27"/>
  <c r="M71" i="27" s="1"/>
  <c r="I96" i="27" s="1"/>
  <c r="P9" i="23"/>
  <c r="P10" i="22"/>
  <c r="P10" i="27"/>
  <c r="I23" i="22"/>
  <c r="I25" i="22" s="1"/>
  <c r="I35" i="22" s="1"/>
  <c r="M11" i="30"/>
  <c r="G99" i="27"/>
  <c r="J23" i="22"/>
  <c r="J25" i="22" s="1"/>
  <c r="F50" i="22" l="1"/>
  <c r="F48" i="22"/>
  <c r="F56" i="22"/>
  <c r="F57" i="22" s="1"/>
  <c r="F58" i="22" s="1"/>
  <c r="F61" i="22" s="1"/>
  <c r="E45" i="22"/>
  <c r="E49" i="22"/>
  <c r="E46" i="22"/>
  <c r="E50" i="22"/>
  <c r="E56" i="22"/>
  <c r="E57" i="22" s="1"/>
  <c r="E58" i="22" s="1"/>
  <c r="E61" i="22" s="1"/>
  <c r="E62" i="22" s="1"/>
  <c r="E165" i="22" s="1"/>
  <c r="E171" i="22" s="1"/>
  <c r="E48" i="22"/>
  <c r="H32" i="22"/>
  <c r="H55" i="22" s="1"/>
  <c r="G55" i="22"/>
  <c r="H38" i="22"/>
  <c r="H41" i="22" s="1"/>
  <c r="G41" i="22"/>
  <c r="G37" i="22"/>
  <c r="H36" i="22"/>
  <c r="H37" i="22" s="1"/>
  <c r="J19" i="30"/>
  <c r="J75" i="30"/>
  <c r="L15" i="30"/>
  <c r="K18" i="30"/>
  <c r="J76" i="30"/>
  <c r="J39" i="30"/>
  <c r="L35" i="30"/>
  <c r="K38" i="30"/>
  <c r="P16" i="42"/>
  <c r="O127" i="23"/>
  <c r="J11" i="42"/>
  <c r="N11" i="30"/>
  <c r="O125" i="23"/>
  <c r="J9" i="42"/>
  <c r="O126" i="23"/>
  <c r="J10" i="42"/>
  <c r="M125" i="23"/>
  <c r="M128" i="23" s="1"/>
  <c r="H9" i="42"/>
  <c r="K36" i="27"/>
  <c r="G42" i="27" s="1"/>
  <c r="I13" i="42"/>
  <c r="I14" i="42" s="1"/>
  <c r="H41" i="27"/>
  <c r="U107" i="23"/>
  <c r="U103" i="23"/>
  <c r="U121" i="23" s="1"/>
  <c r="P8" i="42" s="1"/>
  <c r="H13" i="37"/>
  <c r="G11" i="37"/>
  <c r="F11" i="2"/>
  <c r="F10" i="2" s="1"/>
  <c r="N122" i="23"/>
  <c r="J172" i="22"/>
  <c r="J173" i="22"/>
  <c r="I172" i="22"/>
  <c r="I173" i="22"/>
  <c r="N75" i="23"/>
  <c r="N74" i="23"/>
  <c r="M76" i="23"/>
  <c r="G13" i="2"/>
  <c r="N16" i="27"/>
  <c r="J22" i="27" s="1"/>
  <c r="J41" i="27" s="1"/>
  <c r="Q29" i="27"/>
  <c r="N35" i="27" s="1"/>
  <c r="M16" i="27"/>
  <c r="I22" i="27" s="1"/>
  <c r="P29" i="27"/>
  <c r="M35" i="27" s="1"/>
  <c r="K17" i="25"/>
  <c r="H107" i="25"/>
  <c r="M87" i="25"/>
  <c r="H109" i="25" s="1"/>
  <c r="P92" i="25"/>
  <c r="M98" i="25" s="1"/>
  <c r="H110" i="25" s="1"/>
  <c r="F17" i="2"/>
  <c r="M36" i="39"/>
  <c r="M60" i="39"/>
  <c r="L59" i="39"/>
  <c r="L33" i="39"/>
  <c r="K34" i="39"/>
  <c r="F51" i="22"/>
  <c r="I39" i="22"/>
  <c r="J39" i="22" s="1"/>
  <c r="J35" i="22"/>
  <c r="H42" i="22"/>
  <c r="F47" i="22"/>
  <c r="I36" i="22"/>
  <c r="I40" i="22"/>
  <c r="I38" i="22"/>
  <c r="F62" i="22"/>
  <c r="I32" i="22"/>
  <c r="F117" i="23"/>
  <c r="G9" i="36"/>
  <c r="G33" i="36" s="1"/>
  <c r="G10" i="36"/>
  <c r="G34" i="36" s="1"/>
  <c r="J18" i="23"/>
  <c r="J20" i="23" s="1"/>
  <c r="J32" i="23" s="1"/>
  <c r="J33" i="23" s="1"/>
  <c r="N17" i="22"/>
  <c r="J164" i="22" s="1"/>
  <c r="M17" i="22"/>
  <c r="I164" i="22" s="1"/>
  <c r="N34" i="22"/>
  <c r="N44" i="22" s="1"/>
  <c r="N54" i="22" s="1"/>
  <c r="N60" i="22" s="1"/>
  <c r="N31" i="22"/>
  <c r="R10" i="27"/>
  <c r="R36" i="25"/>
  <c r="R58" i="25"/>
  <c r="R81" i="25"/>
  <c r="R92" i="25" s="1"/>
  <c r="R70" i="25"/>
  <c r="R47" i="25"/>
  <c r="Q217" i="25"/>
  <c r="Q213" i="25"/>
  <c r="Q216" i="25"/>
  <c r="Q219" i="25"/>
  <c r="Q218" i="25"/>
  <c r="Q214" i="25"/>
  <c r="P218" i="25"/>
  <c r="P214" i="25"/>
  <c r="L10" i="25" s="1"/>
  <c r="J9" i="37" s="1"/>
  <c r="P217" i="25"/>
  <c r="P213" i="25"/>
  <c r="L9" i="25" s="1"/>
  <c r="J8" i="37" s="1"/>
  <c r="P216" i="25"/>
  <c r="L12" i="25" s="1"/>
  <c r="J14" i="37" s="1"/>
  <c r="P219" i="25"/>
  <c r="K4" i="36"/>
  <c r="K44" i="36" s="1"/>
  <c r="I6" i="2"/>
  <c r="F7" i="36"/>
  <c r="F31" i="36" s="1"/>
  <c r="H8" i="36"/>
  <c r="H32" i="36" s="1"/>
  <c r="F10" i="36"/>
  <c r="F34" i="36" s="1"/>
  <c r="J4" i="36"/>
  <c r="O44" i="23"/>
  <c r="O42" i="23"/>
  <c r="O43" i="23"/>
  <c r="G12" i="2"/>
  <c r="Q38" i="23"/>
  <c r="K18" i="23"/>
  <c r="K20" i="23" s="1"/>
  <c r="R9" i="23"/>
  <c r="R10" i="22"/>
  <c r="R64" i="27"/>
  <c r="O71" i="27" s="1"/>
  <c r="K96" i="27" s="1"/>
  <c r="K23" i="22"/>
  <c r="K25" i="22" s="1"/>
  <c r="L65" i="23"/>
  <c r="H99" i="27"/>
  <c r="P38" i="23"/>
  <c r="P70" i="23" s="1"/>
  <c r="E51" i="22" l="1"/>
  <c r="E47" i="22"/>
  <c r="E52" i="22" s="1"/>
  <c r="G42" i="22"/>
  <c r="I170" i="22"/>
  <c r="I181" i="22"/>
  <c r="K6" i="42" s="1"/>
  <c r="K7" i="42" s="1"/>
  <c r="K12" i="42" s="1"/>
  <c r="J170" i="22"/>
  <c r="J181" i="22"/>
  <c r="L6" i="42" s="1"/>
  <c r="L7" i="42" s="1"/>
  <c r="L12" i="42" s="1"/>
  <c r="M35" i="30"/>
  <c r="L38" i="30"/>
  <c r="K39" i="30"/>
  <c r="K76" i="30"/>
  <c r="K19" i="30"/>
  <c r="K75" i="30"/>
  <c r="M15" i="30"/>
  <c r="L18" i="30"/>
  <c r="J23" i="27"/>
  <c r="O128" i="23"/>
  <c r="N125" i="23"/>
  <c r="N128" i="23" s="1"/>
  <c r="I9" i="42"/>
  <c r="L36" i="27"/>
  <c r="H42" i="27" s="1"/>
  <c r="J13" i="42"/>
  <c r="J14" i="42" s="1"/>
  <c r="J40" i="27"/>
  <c r="J44" i="27" s="1"/>
  <c r="P40" i="39" s="1"/>
  <c r="P41" i="39" s="1"/>
  <c r="I13" i="37"/>
  <c r="H11" i="37"/>
  <c r="K172" i="22"/>
  <c r="K173" i="22"/>
  <c r="J24" i="23"/>
  <c r="J25" i="23" s="1"/>
  <c r="N63" i="23"/>
  <c r="Q41" i="23" s="1"/>
  <c r="Q70" i="23"/>
  <c r="D8" i="2"/>
  <c r="D9" i="2" s="1"/>
  <c r="D14" i="2" s="1"/>
  <c r="L118" i="25"/>
  <c r="L211" i="25"/>
  <c r="L215" i="25" s="1"/>
  <c r="O74" i="23"/>
  <c r="O75" i="23"/>
  <c r="N76" i="23"/>
  <c r="I40" i="27"/>
  <c r="I44" i="27" s="1"/>
  <c r="H18" i="2" s="1"/>
  <c r="O16" i="27"/>
  <c r="K22" i="27" s="1"/>
  <c r="K41" i="27" s="1"/>
  <c r="R29" i="27"/>
  <c r="O35" i="27" s="1"/>
  <c r="L16" i="25"/>
  <c r="J26" i="37" s="1"/>
  <c r="L15" i="25"/>
  <c r="J22" i="37" s="1"/>
  <c r="L14" i="25"/>
  <c r="J21" i="37" s="1"/>
  <c r="H111" i="25"/>
  <c r="H112" i="25" s="1"/>
  <c r="G17" i="2"/>
  <c r="N36" i="39"/>
  <c r="N37" i="39" s="1"/>
  <c r="N43" i="39" s="1"/>
  <c r="L34" i="39"/>
  <c r="M33" i="39"/>
  <c r="N60" i="39"/>
  <c r="M59" i="39"/>
  <c r="F165" i="22"/>
  <c r="J28" i="23"/>
  <c r="K28" i="23" s="1"/>
  <c r="K29" i="23" s="1"/>
  <c r="F52" i="22"/>
  <c r="J36" i="22"/>
  <c r="I37" i="22"/>
  <c r="K39" i="22"/>
  <c r="J32" i="22"/>
  <c r="I55" i="22"/>
  <c r="J38" i="22"/>
  <c r="I41" i="22"/>
  <c r="H56" i="22"/>
  <c r="H57" i="22" s="1"/>
  <c r="H58" i="22" s="1"/>
  <c r="H61" i="22" s="1"/>
  <c r="H48" i="22"/>
  <c r="H49" i="22"/>
  <c r="H46" i="22"/>
  <c r="H45" i="22"/>
  <c r="H50" i="22"/>
  <c r="G11" i="2"/>
  <c r="G10" i="2" s="1"/>
  <c r="J40" i="22"/>
  <c r="K35" i="22"/>
  <c r="H10" i="36"/>
  <c r="H34" i="36" s="1"/>
  <c r="O17" i="22"/>
  <c r="K164" i="22" s="1"/>
  <c r="I18" i="2"/>
  <c r="K45" i="36"/>
  <c r="J6" i="2"/>
  <c r="K28" i="36"/>
  <c r="N49" i="23"/>
  <c r="Q39" i="23" s="1"/>
  <c r="J114" i="23" s="1"/>
  <c r="Q122" i="23" s="1"/>
  <c r="K40" i="36"/>
  <c r="K42" i="36"/>
  <c r="K46" i="36"/>
  <c r="K48" i="36"/>
  <c r="K43" i="36"/>
  <c r="N56" i="23"/>
  <c r="Q40" i="23" s="1"/>
  <c r="J115" i="23" s="1"/>
  <c r="Q123" i="23" s="1"/>
  <c r="S10" i="22"/>
  <c r="S81" i="25"/>
  <c r="S92" i="25" s="1"/>
  <c r="S70" i="25"/>
  <c r="S47" i="25"/>
  <c r="S58" i="25"/>
  <c r="S36" i="25"/>
  <c r="R216" i="25"/>
  <c r="R219" i="25"/>
  <c r="R218" i="25"/>
  <c r="R214" i="25"/>
  <c r="R217" i="25"/>
  <c r="R213" i="25"/>
  <c r="K47" i="36"/>
  <c r="K41" i="36"/>
  <c r="K39" i="36"/>
  <c r="H9" i="36"/>
  <c r="H33" i="36" s="1"/>
  <c r="G117" i="23"/>
  <c r="L4" i="36"/>
  <c r="F5" i="36"/>
  <c r="F29" i="36" s="1"/>
  <c r="H12" i="36"/>
  <c r="H36" i="36" s="1"/>
  <c r="J46" i="36"/>
  <c r="J42" i="36"/>
  <c r="J45" i="36"/>
  <c r="J41" i="36"/>
  <c r="J48" i="36"/>
  <c r="J44" i="36"/>
  <c r="J40" i="36"/>
  <c r="J47" i="36"/>
  <c r="J43" i="36"/>
  <c r="J39" i="36"/>
  <c r="J28" i="36"/>
  <c r="R38" i="23"/>
  <c r="L18" i="23"/>
  <c r="L20" i="23" s="1"/>
  <c r="K32" i="23"/>
  <c r="K33" i="23" s="1"/>
  <c r="S9" i="23"/>
  <c r="L23" i="22"/>
  <c r="L25" i="22" s="1"/>
  <c r="S64" i="27"/>
  <c r="P71" i="27" s="1"/>
  <c r="L96" i="27" s="1"/>
  <c r="K6" i="2"/>
  <c r="S10" i="27"/>
  <c r="I23" i="27"/>
  <c r="I41" i="27"/>
  <c r="M63" i="23"/>
  <c r="P41" i="23" s="1"/>
  <c r="I116" i="23" s="1"/>
  <c r="P124" i="23" s="1"/>
  <c r="M49" i="23"/>
  <c r="P39" i="23" s="1"/>
  <c r="I114" i="23" s="1"/>
  <c r="P122" i="23" s="1"/>
  <c r="M56" i="23"/>
  <c r="P40" i="23" s="1"/>
  <c r="I115" i="23" s="1"/>
  <c r="P123" i="23" s="1"/>
  <c r="G45" i="22" l="1"/>
  <c r="G48" i="22"/>
  <c r="G50" i="22"/>
  <c r="G56" i="22"/>
  <c r="G57" i="22" s="1"/>
  <c r="G58" i="22" s="1"/>
  <c r="G61" i="22" s="1"/>
  <c r="G62" i="22" s="1"/>
  <c r="G165" i="22" s="1"/>
  <c r="G171" i="22" s="1"/>
  <c r="G46" i="22"/>
  <c r="G47" i="22" s="1"/>
  <c r="G49" i="22"/>
  <c r="K170" i="22"/>
  <c r="K181" i="22"/>
  <c r="M6" i="42" s="1"/>
  <c r="M7" i="42" s="1"/>
  <c r="M12" i="42" s="1"/>
  <c r="K40" i="27"/>
  <c r="K44" i="27" s="1"/>
  <c r="Q40" i="39" s="1"/>
  <c r="Q41" i="39" s="1"/>
  <c r="N15" i="30"/>
  <c r="N18" i="30" s="1"/>
  <c r="M18" i="30"/>
  <c r="L76" i="30"/>
  <c r="L39" i="30"/>
  <c r="N35" i="30"/>
  <c r="N38" i="30" s="1"/>
  <c r="M38" i="30"/>
  <c r="L75" i="30"/>
  <c r="L19" i="30"/>
  <c r="K23" i="27"/>
  <c r="P51" i="27"/>
  <c r="M58" i="27" s="1"/>
  <c r="K24" i="23"/>
  <c r="K25" i="23" s="1"/>
  <c r="Q126" i="23"/>
  <c r="L10" i="42"/>
  <c r="P126" i="23"/>
  <c r="K10" i="42"/>
  <c r="Q125" i="23"/>
  <c r="L9" i="42"/>
  <c r="P125" i="23"/>
  <c r="K9" i="42"/>
  <c r="P127" i="23"/>
  <c r="K11" i="42"/>
  <c r="I11" i="37"/>
  <c r="J116" i="23"/>
  <c r="L172" i="22"/>
  <c r="L173" i="22"/>
  <c r="O40" i="39"/>
  <c r="O41" i="39" s="1"/>
  <c r="Q44" i="23"/>
  <c r="O49" i="23"/>
  <c r="R39" i="23" s="1"/>
  <c r="R70" i="23"/>
  <c r="H11" i="25"/>
  <c r="F10" i="37" s="1"/>
  <c r="L220" i="25"/>
  <c r="L129" i="25"/>
  <c r="I124" i="25"/>
  <c r="D196" i="25" s="1"/>
  <c r="O76" i="23"/>
  <c r="H13" i="2"/>
  <c r="Q74" i="23"/>
  <c r="Q75" i="23"/>
  <c r="Q42" i="23"/>
  <c r="I11" i="2"/>
  <c r="Q43" i="23"/>
  <c r="I12" i="2"/>
  <c r="P16" i="27"/>
  <c r="L40" i="27" s="1"/>
  <c r="L44" i="27" s="1"/>
  <c r="R40" i="39" s="1"/>
  <c r="R41" i="39" s="1"/>
  <c r="S29" i="27"/>
  <c r="P35" i="27" s="1"/>
  <c r="L17" i="25"/>
  <c r="M34" i="39"/>
  <c r="M35" i="39" s="1"/>
  <c r="M37" i="39" s="1"/>
  <c r="M43" i="39" s="1"/>
  <c r="N33" i="39"/>
  <c r="N59" i="39"/>
  <c r="F171" i="22"/>
  <c r="J29" i="23"/>
  <c r="H47" i="22"/>
  <c r="I42" i="22"/>
  <c r="J18" i="2"/>
  <c r="H51" i="22"/>
  <c r="K38" i="22"/>
  <c r="J41" i="22"/>
  <c r="L39" i="22"/>
  <c r="K40" i="22"/>
  <c r="H62" i="22"/>
  <c r="L35" i="22"/>
  <c r="K32" i="22"/>
  <c r="J55" i="22"/>
  <c r="J37" i="22"/>
  <c r="K36" i="22"/>
  <c r="I10" i="36"/>
  <c r="I34" i="36" s="1"/>
  <c r="H117" i="23"/>
  <c r="I9" i="36"/>
  <c r="I33" i="36" s="1"/>
  <c r="P17" i="22"/>
  <c r="L164" i="22" s="1"/>
  <c r="N65" i="23"/>
  <c r="O56" i="23"/>
  <c r="R40" i="23" s="1"/>
  <c r="K115" i="23" s="1"/>
  <c r="R123" i="23" s="1"/>
  <c r="T81" i="25"/>
  <c r="T92" i="25" s="1"/>
  <c r="T70" i="25"/>
  <c r="T47" i="25"/>
  <c r="T36" i="25"/>
  <c r="T58" i="25"/>
  <c r="S219" i="25"/>
  <c r="S218" i="25"/>
  <c r="S214" i="25"/>
  <c r="S217" i="25"/>
  <c r="S213" i="25"/>
  <c r="S216" i="25"/>
  <c r="H7" i="36"/>
  <c r="H31" i="36" s="1"/>
  <c r="I8" i="36"/>
  <c r="I32" i="36" s="1"/>
  <c r="M4" i="36"/>
  <c r="L48" i="36"/>
  <c r="L44" i="36"/>
  <c r="L40" i="36"/>
  <c r="L47" i="36"/>
  <c r="L43" i="36"/>
  <c r="L39" i="36"/>
  <c r="L28" i="36"/>
  <c r="L46" i="36"/>
  <c r="L42" i="36"/>
  <c r="L45" i="36"/>
  <c r="L41" i="36"/>
  <c r="I12" i="36"/>
  <c r="I36" i="36" s="1"/>
  <c r="F6" i="36"/>
  <c r="F30" i="36" s="1"/>
  <c r="P43" i="23"/>
  <c r="H12" i="2"/>
  <c r="P42" i="23"/>
  <c r="H11" i="2"/>
  <c r="O63" i="23"/>
  <c r="R41" i="23" s="1"/>
  <c r="K116" i="23" s="1"/>
  <c r="R124" i="23" s="1"/>
  <c r="P44" i="23"/>
  <c r="L32" i="23"/>
  <c r="L28" i="23"/>
  <c r="L29" i="23" s="1"/>
  <c r="M18" i="23"/>
  <c r="M20" i="23" s="1"/>
  <c r="S38" i="23"/>
  <c r="S70" i="23" s="1"/>
  <c r="L6" i="2"/>
  <c r="T64" i="27"/>
  <c r="Q71" i="27" s="1"/>
  <c r="M96" i="27" s="1"/>
  <c r="T10" i="22"/>
  <c r="T10" i="27"/>
  <c r="T9" i="23"/>
  <c r="M23" i="22"/>
  <c r="M25" i="22" s="1"/>
  <c r="M65" i="23"/>
  <c r="G51" i="22" l="1"/>
  <c r="G52" i="22" s="1"/>
  <c r="L170" i="22"/>
  <c r="L181" i="22"/>
  <c r="N6" i="42" s="1"/>
  <c r="N7" i="42" s="1"/>
  <c r="N12" i="42" s="1"/>
  <c r="N76" i="30"/>
  <c r="N39" i="30"/>
  <c r="M39" i="30"/>
  <c r="M76" i="30"/>
  <c r="M75" i="30"/>
  <c r="M19" i="30"/>
  <c r="N19" i="30"/>
  <c r="N75" i="30"/>
  <c r="P128" i="23"/>
  <c r="L24" i="23"/>
  <c r="L25" i="23" s="1"/>
  <c r="F5" i="37"/>
  <c r="L21" i="46"/>
  <c r="R127" i="23"/>
  <c r="M11" i="42"/>
  <c r="R126" i="23"/>
  <c r="M10" i="42"/>
  <c r="L22" i="27"/>
  <c r="L41" i="27" s="1"/>
  <c r="I13" i="2"/>
  <c r="I10" i="2" s="1"/>
  <c r="Q124" i="23"/>
  <c r="K114" i="23"/>
  <c r="R122" i="23" s="1"/>
  <c r="R42" i="23"/>
  <c r="M172" i="22"/>
  <c r="M173" i="22"/>
  <c r="I49" i="22"/>
  <c r="K18" i="2"/>
  <c r="L151" i="25"/>
  <c r="L140" i="25"/>
  <c r="I146" i="25" s="1"/>
  <c r="D198" i="25" s="1"/>
  <c r="I135" i="25"/>
  <c r="D197" i="25" s="1"/>
  <c r="E8" i="2"/>
  <c r="E9" i="2" s="1"/>
  <c r="E14" i="2" s="1"/>
  <c r="M118" i="25"/>
  <c r="M211" i="25"/>
  <c r="M215" i="25" s="1"/>
  <c r="F8" i="2"/>
  <c r="F9" i="2" s="1"/>
  <c r="F14" i="2" s="1"/>
  <c r="N118" i="25"/>
  <c r="N211" i="25"/>
  <c r="N215" i="25" s="1"/>
  <c r="H13" i="25"/>
  <c r="H18" i="25" s="1"/>
  <c r="P75" i="23"/>
  <c r="P74" i="23"/>
  <c r="Q76" i="23"/>
  <c r="R43" i="23"/>
  <c r="H10" i="2"/>
  <c r="Q51" i="27"/>
  <c r="N58" i="27" s="1"/>
  <c r="J95" i="27" s="1"/>
  <c r="J99" i="27" s="1"/>
  <c r="I95" i="27"/>
  <c r="I99" i="27" s="1"/>
  <c r="K13" i="42" s="1"/>
  <c r="K14" i="42" s="1"/>
  <c r="Q16" i="27"/>
  <c r="M22" i="27" s="1"/>
  <c r="T29" i="27"/>
  <c r="Q35" i="27" s="1"/>
  <c r="O33" i="39"/>
  <c r="N34" i="39"/>
  <c r="H165" i="22"/>
  <c r="H52" i="22"/>
  <c r="I48" i="22"/>
  <c r="I45" i="22"/>
  <c r="I50" i="22"/>
  <c r="I56" i="22"/>
  <c r="I57" i="22" s="1"/>
  <c r="I58" i="22" s="1"/>
  <c r="I61" i="22" s="1"/>
  <c r="I46" i="22"/>
  <c r="L32" i="22"/>
  <c r="K55" i="22"/>
  <c r="L38" i="22"/>
  <c r="K41" i="22"/>
  <c r="K37" i="22"/>
  <c r="L36" i="22"/>
  <c r="M39" i="22"/>
  <c r="M35" i="22"/>
  <c r="L40" i="22"/>
  <c r="J42" i="22"/>
  <c r="K10" i="36"/>
  <c r="K34" i="36" s="1"/>
  <c r="N18" i="23"/>
  <c r="N20" i="23" s="1"/>
  <c r="Q17" i="22"/>
  <c r="M164" i="22" s="1"/>
  <c r="O65" i="23"/>
  <c r="T218" i="25"/>
  <c r="T214" i="25"/>
  <c r="T217" i="25"/>
  <c r="T213" i="25"/>
  <c r="T216" i="25"/>
  <c r="T219" i="25"/>
  <c r="I7" i="36"/>
  <c r="I31" i="36" s="1"/>
  <c r="G7" i="36"/>
  <c r="G31" i="36" s="1"/>
  <c r="F11" i="36"/>
  <c r="F35" i="36" s="1"/>
  <c r="N4" i="36"/>
  <c r="G5" i="36"/>
  <c r="G29" i="36" s="1"/>
  <c r="M47" i="36"/>
  <c r="M43" i="36"/>
  <c r="M39" i="36"/>
  <c r="M28" i="36"/>
  <c r="M46" i="36"/>
  <c r="M42" i="36"/>
  <c r="M45" i="36"/>
  <c r="M41" i="36"/>
  <c r="M48" i="36"/>
  <c r="M44" i="36"/>
  <c r="M40" i="36"/>
  <c r="R44" i="23"/>
  <c r="J13" i="2"/>
  <c r="M28" i="23"/>
  <c r="M29" i="23" s="1"/>
  <c r="M32" i="23"/>
  <c r="M33" i="23" s="1"/>
  <c r="L33" i="23"/>
  <c r="F13" i="36"/>
  <c r="P63" i="23"/>
  <c r="S41" i="23" s="1"/>
  <c r="L116" i="23" s="1"/>
  <c r="S124" i="23" s="1"/>
  <c r="P49" i="23"/>
  <c r="S39" i="23" s="1"/>
  <c r="L114" i="23" s="1"/>
  <c r="S122" i="23" s="1"/>
  <c r="P56" i="23"/>
  <c r="S40" i="23" s="1"/>
  <c r="L115" i="23" s="1"/>
  <c r="S123" i="23" s="1"/>
  <c r="T38" i="23"/>
  <c r="T70" i="23" s="1"/>
  <c r="M24" i="23" l="1"/>
  <c r="M25" i="23" s="1"/>
  <c r="M170" i="22"/>
  <c r="M181" i="22"/>
  <c r="O6" i="42" s="1"/>
  <c r="O7" i="42" s="1"/>
  <c r="O12" i="42" s="1"/>
  <c r="L23" i="27"/>
  <c r="M40" i="27"/>
  <c r="M44" i="27" s="1"/>
  <c r="S40" i="39" s="1"/>
  <c r="S41" i="39" s="1"/>
  <c r="F16" i="37"/>
  <c r="L9" i="46"/>
  <c r="S125" i="23"/>
  <c r="N9" i="42"/>
  <c r="S127" i="23"/>
  <c r="N11" i="42"/>
  <c r="R125" i="23"/>
  <c r="R128" i="23" s="1"/>
  <c r="M9" i="42"/>
  <c r="Q127" i="23"/>
  <c r="Q128" i="23" s="1"/>
  <c r="L11" i="42"/>
  <c r="S126" i="23"/>
  <c r="N10" i="42"/>
  <c r="N36" i="27"/>
  <c r="J42" i="27" s="1"/>
  <c r="L13" i="42"/>
  <c r="L14" i="42" s="1"/>
  <c r="J11" i="2"/>
  <c r="M36" i="27"/>
  <c r="I42" i="27" s="1"/>
  <c r="J13" i="37"/>
  <c r="R51" i="27"/>
  <c r="O58" i="27" s="1"/>
  <c r="I11" i="25"/>
  <c r="G10" i="37" s="1"/>
  <c r="M220" i="25"/>
  <c r="J11" i="25"/>
  <c r="H10" i="37" s="1"/>
  <c r="N220" i="25"/>
  <c r="M129" i="25"/>
  <c r="J124" i="25"/>
  <c r="E196" i="25" s="1"/>
  <c r="L163" i="25"/>
  <c r="I157" i="25"/>
  <c r="D199" i="25" s="1"/>
  <c r="D200" i="25" s="1"/>
  <c r="H19" i="25"/>
  <c r="D19" i="2" s="1"/>
  <c r="N129" i="25"/>
  <c r="K124" i="25"/>
  <c r="F196" i="25" s="1"/>
  <c r="P76" i="23"/>
  <c r="R74" i="23"/>
  <c r="R75" i="23"/>
  <c r="O36" i="39"/>
  <c r="O60" i="39"/>
  <c r="I17" i="2"/>
  <c r="P36" i="39"/>
  <c r="H17" i="2"/>
  <c r="H171" i="22"/>
  <c r="I62" i="22"/>
  <c r="I51" i="22"/>
  <c r="I47" i="22"/>
  <c r="K42" i="22"/>
  <c r="L37" i="22"/>
  <c r="M36" i="22"/>
  <c r="M38" i="22"/>
  <c r="L41" i="22"/>
  <c r="J56" i="22"/>
  <c r="J57" i="22" s="1"/>
  <c r="J58" i="22" s="1"/>
  <c r="J61" i="22" s="1"/>
  <c r="J45" i="22"/>
  <c r="J49" i="22"/>
  <c r="J48" i="22"/>
  <c r="J50" i="22"/>
  <c r="J46" i="22"/>
  <c r="M40" i="22"/>
  <c r="M32" i="22"/>
  <c r="L55" i="22"/>
  <c r="J10" i="36"/>
  <c r="J34" i="36" s="1"/>
  <c r="I117" i="23"/>
  <c r="J117" i="23"/>
  <c r="K7" i="36" s="1"/>
  <c r="K31" i="36" s="1"/>
  <c r="L8" i="36"/>
  <c r="L32" i="36" s="1"/>
  <c r="J9" i="36"/>
  <c r="J33" i="36" s="1"/>
  <c r="K8" i="36"/>
  <c r="K32" i="36" s="1"/>
  <c r="U58" i="25"/>
  <c r="U36" i="25"/>
  <c r="U81" i="25"/>
  <c r="U92" i="25" s="1"/>
  <c r="U70" i="25"/>
  <c r="U47" i="25"/>
  <c r="G11" i="36"/>
  <c r="G35" i="36" s="1"/>
  <c r="G6" i="36"/>
  <c r="G30" i="36" s="1"/>
  <c r="D15" i="2"/>
  <c r="D16" i="2" s="1"/>
  <c r="K9" i="36"/>
  <c r="K33" i="36" s="1"/>
  <c r="H5" i="36"/>
  <c r="H29" i="36" s="1"/>
  <c r="I5" i="36"/>
  <c r="I29" i="36" s="1"/>
  <c r="N46" i="36"/>
  <c r="N42" i="36"/>
  <c r="N45" i="36"/>
  <c r="N41" i="36"/>
  <c r="N48" i="36"/>
  <c r="N44" i="36"/>
  <c r="N40" i="36"/>
  <c r="N47" i="36"/>
  <c r="N43" i="36"/>
  <c r="N39" i="36"/>
  <c r="N28" i="36"/>
  <c r="S43" i="23"/>
  <c r="K12" i="2"/>
  <c r="S42" i="23"/>
  <c r="K11" i="2"/>
  <c r="S44" i="23"/>
  <c r="K13" i="2"/>
  <c r="N32" i="23"/>
  <c r="N33" i="23" s="1"/>
  <c r="N28" i="23"/>
  <c r="N29" i="23" s="1"/>
  <c r="F37" i="36"/>
  <c r="F14" i="36"/>
  <c r="F38" i="36" s="1"/>
  <c r="P65" i="23"/>
  <c r="M41" i="27"/>
  <c r="M23" i="27"/>
  <c r="Q56" i="23"/>
  <c r="T40" i="23" s="1"/>
  <c r="M115" i="23" s="1"/>
  <c r="T123" i="23" s="1"/>
  <c r="Q49" i="23"/>
  <c r="T39" i="23" s="1"/>
  <c r="M114" i="23" s="1"/>
  <c r="T122" i="23" s="1"/>
  <c r="Q63" i="23"/>
  <c r="T41" i="23" s="1"/>
  <c r="M116" i="23" s="1"/>
  <c r="T124" i="23" s="1"/>
  <c r="M6" i="2"/>
  <c r="U64" i="27"/>
  <c r="R71" i="27" s="1"/>
  <c r="N96" i="27" s="1"/>
  <c r="U10" i="27"/>
  <c r="U9" i="23"/>
  <c r="N23" i="22"/>
  <c r="N25" i="22" s="1"/>
  <c r="N35" i="22" s="1"/>
  <c r="U10" i="22"/>
  <c r="N24" i="23" l="1"/>
  <c r="N25" i="23" s="1"/>
  <c r="L18" i="2"/>
  <c r="G5" i="37"/>
  <c r="M21" i="46"/>
  <c r="H5" i="37"/>
  <c r="N21" i="46"/>
  <c r="I16" i="46"/>
  <c r="L25" i="46"/>
  <c r="L26" i="46" s="1"/>
  <c r="S128" i="23"/>
  <c r="T127" i="23"/>
  <c r="O11" i="42"/>
  <c r="T125" i="23"/>
  <c r="O9" i="42"/>
  <c r="T126" i="23"/>
  <c r="O10" i="42"/>
  <c r="K13" i="37"/>
  <c r="J11" i="37"/>
  <c r="N172" i="22"/>
  <c r="N173" i="22"/>
  <c r="D20" i="2"/>
  <c r="K46" i="22"/>
  <c r="L174" i="25"/>
  <c r="I169" i="25"/>
  <c r="D201" i="25" s="1"/>
  <c r="J13" i="25"/>
  <c r="J18" i="25" s="1"/>
  <c r="G8" i="2"/>
  <c r="G9" i="2" s="1"/>
  <c r="G14" i="2" s="1"/>
  <c r="O211" i="25"/>
  <c r="O215" i="25" s="1"/>
  <c r="O118" i="25"/>
  <c r="M140" i="25"/>
  <c r="J146" i="25" s="1"/>
  <c r="E198" i="25" s="1"/>
  <c r="M151" i="25"/>
  <c r="J135" i="25"/>
  <c r="E197" i="25" s="1"/>
  <c r="I13" i="25"/>
  <c r="I18" i="25" s="1"/>
  <c r="N140" i="25"/>
  <c r="K146" i="25" s="1"/>
  <c r="F198" i="25" s="1"/>
  <c r="N151" i="25"/>
  <c r="K135" i="25"/>
  <c r="F197" i="25" s="1"/>
  <c r="S74" i="23"/>
  <c r="S75" i="23"/>
  <c r="R76" i="23"/>
  <c r="K10" i="2"/>
  <c r="L9" i="36"/>
  <c r="L33" i="36" s="1"/>
  <c r="J12" i="2"/>
  <c r="J10" i="2" s="1"/>
  <c r="S51" i="27"/>
  <c r="P58" i="27" s="1"/>
  <c r="L95" i="27" s="1"/>
  <c r="L99" i="27" s="1"/>
  <c r="K95" i="27"/>
  <c r="K99" i="27" s="1"/>
  <c r="R16" i="27"/>
  <c r="N40" i="27" s="1"/>
  <c r="N44" i="27" s="1"/>
  <c r="U29" i="27"/>
  <c r="R35" i="27" s="1"/>
  <c r="O59" i="39"/>
  <c r="P60" i="39"/>
  <c r="I165" i="22"/>
  <c r="K50" i="22"/>
  <c r="I52" i="22"/>
  <c r="J47" i="22"/>
  <c r="K49" i="22"/>
  <c r="K45" i="22"/>
  <c r="K48" i="22"/>
  <c r="K56" i="22"/>
  <c r="K57" i="22" s="1"/>
  <c r="K58" i="22" s="1"/>
  <c r="K61" i="22" s="1"/>
  <c r="K62" i="22" s="1"/>
  <c r="J51" i="22"/>
  <c r="P35" i="22"/>
  <c r="N40" i="22"/>
  <c r="L42" i="22"/>
  <c r="N32" i="22"/>
  <c r="M55" i="22"/>
  <c r="N38" i="22"/>
  <c r="M41" i="22"/>
  <c r="N39" i="22"/>
  <c r="J62" i="22"/>
  <c r="N36" i="22"/>
  <c r="M37" i="22"/>
  <c r="J8" i="36"/>
  <c r="J32" i="36" s="1"/>
  <c r="O18" i="23"/>
  <c r="O20" i="23" s="1"/>
  <c r="O24" i="23" s="1"/>
  <c r="O25" i="23" s="1"/>
  <c r="R17" i="22"/>
  <c r="N164" i="22" s="1"/>
  <c r="U217" i="25"/>
  <c r="U213" i="25"/>
  <c r="U216" i="25"/>
  <c r="U219" i="25"/>
  <c r="U218" i="25"/>
  <c r="U214" i="25"/>
  <c r="K12" i="36"/>
  <c r="K36" i="36" s="1"/>
  <c r="E15" i="2"/>
  <c r="E16" i="2" s="1"/>
  <c r="J12" i="36"/>
  <c r="J36" i="36" s="1"/>
  <c r="I6" i="36"/>
  <c r="I30" i="36" s="1"/>
  <c r="O4" i="36"/>
  <c r="H6" i="36"/>
  <c r="H30" i="36" s="1"/>
  <c r="K117" i="23"/>
  <c r="G13" i="36"/>
  <c r="G14" i="36" s="1"/>
  <c r="G38" i="36" s="1"/>
  <c r="T44" i="23"/>
  <c r="T42" i="23"/>
  <c r="L11" i="2"/>
  <c r="T43" i="23"/>
  <c r="L12" i="2"/>
  <c r="Q65" i="23"/>
  <c r="U38" i="23"/>
  <c r="U70" i="23" s="1"/>
  <c r="T51" i="27" l="1"/>
  <c r="Q58" i="27" s="1"/>
  <c r="M95" i="27" s="1"/>
  <c r="N170" i="22"/>
  <c r="N181" i="22"/>
  <c r="P6" i="42" s="1"/>
  <c r="P7" i="42" s="1"/>
  <c r="P12" i="42" s="1"/>
  <c r="T128" i="23"/>
  <c r="N22" i="27"/>
  <c r="N23" i="27" s="1"/>
  <c r="H16" i="37"/>
  <c r="N9" i="46"/>
  <c r="F20" i="37"/>
  <c r="F19" i="37" s="1"/>
  <c r="L10" i="46" s="1"/>
  <c r="L11" i="46" s="1"/>
  <c r="L27" i="46"/>
  <c r="L34" i="46" s="1"/>
  <c r="G16" i="37"/>
  <c r="M9" i="46"/>
  <c r="P36" i="27"/>
  <c r="L42" i="27" s="1"/>
  <c r="N13" i="42"/>
  <c r="N14" i="42" s="1"/>
  <c r="O36" i="27"/>
  <c r="K42" i="27" s="1"/>
  <c r="M13" i="42"/>
  <c r="M14" i="42" s="1"/>
  <c r="L13" i="37"/>
  <c r="K47" i="22"/>
  <c r="N163" i="25"/>
  <c r="K157" i="25"/>
  <c r="F199" i="25" s="1"/>
  <c r="F200" i="25" s="1"/>
  <c r="M163" i="25"/>
  <c r="J157" i="25"/>
  <c r="E199" i="25" s="1"/>
  <c r="E200" i="25" s="1"/>
  <c r="O129" i="25"/>
  <c r="L124" i="25"/>
  <c r="G196" i="25" s="1"/>
  <c r="K11" i="25"/>
  <c r="I10" i="37" s="1"/>
  <c r="O220" i="25"/>
  <c r="J19" i="25"/>
  <c r="F19" i="2" s="1"/>
  <c r="I19" i="25"/>
  <c r="E19" i="2" s="1"/>
  <c r="E20" i="2" s="1"/>
  <c r="L185" i="25"/>
  <c r="I191" i="25" s="1"/>
  <c r="D203" i="25" s="1"/>
  <c r="I180" i="25"/>
  <c r="D202" i="25" s="1"/>
  <c r="T75" i="23"/>
  <c r="T74" i="23"/>
  <c r="S76" i="23"/>
  <c r="T40" i="39"/>
  <c r="T41" i="39" s="1"/>
  <c r="D79" i="27" a="1"/>
  <c r="Q36" i="39"/>
  <c r="Q37" i="39" s="1"/>
  <c r="Q43" i="39" s="1"/>
  <c r="K17" i="2"/>
  <c r="R36" i="39"/>
  <c r="R37" i="39" s="1"/>
  <c r="R43" i="39" s="1"/>
  <c r="Q60" i="39"/>
  <c r="P59" i="39"/>
  <c r="O34" i="39"/>
  <c r="O35" i="39" s="1"/>
  <c r="O37" i="39" s="1"/>
  <c r="O43" i="39" s="1"/>
  <c r="P33" i="39"/>
  <c r="I171" i="22"/>
  <c r="J165" i="22"/>
  <c r="K165" i="22"/>
  <c r="J52" i="22"/>
  <c r="K51" i="22"/>
  <c r="P38" i="22"/>
  <c r="N41" i="22"/>
  <c r="P40" i="22"/>
  <c r="P39" i="22"/>
  <c r="N55" i="22"/>
  <c r="P32" i="22"/>
  <c r="P36" i="22"/>
  <c r="N37" i="22"/>
  <c r="P37" i="22" s="1"/>
  <c r="M42" i="22"/>
  <c r="L46" i="22"/>
  <c r="L56" i="22"/>
  <c r="L57" i="22" s="1"/>
  <c r="L58" i="22" s="1"/>
  <c r="L61" i="22" s="1"/>
  <c r="L49" i="22"/>
  <c r="L45" i="22"/>
  <c r="L48" i="22"/>
  <c r="L50" i="22"/>
  <c r="O28" i="23"/>
  <c r="O29" i="23" s="1"/>
  <c r="O32" i="23"/>
  <c r="O33" i="23" s="1"/>
  <c r="M18" i="2"/>
  <c r="N18" i="2" s="1"/>
  <c r="N17" i="2" s="1"/>
  <c r="J17" i="2"/>
  <c r="M9" i="36"/>
  <c r="M33" i="36" s="1"/>
  <c r="L10" i="36"/>
  <c r="L34" i="36" s="1"/>
  <c r="J5" i="36"/>
  <c r="J29" i="36" s="1"/>
  <c r="L7" i="36"/>
  <c r="L31" i="36" s="1"/>
  <c r="J7" i="36"/>
  <c r="J31" i="36" s="1"/>
  <c r="M10" i="36"/>
  <c r="M34" i="36" s="1"/>
  <c r="M8" i="36"/>
  <c r="M32" i="36" s="1"/>
  <c r="H11" i="36"/>
  <c r="H35" i="36" s="1"/>
  <c r="I11" i="36"/>
  <c r="I35" i="36" s="1"/>
  <c r="G37" i="36"/>
  <c r="H13" i="36"/>
  <c r="O45" i="36"/>
  <c r="O41" i="36"/>
  <c r="O48" i="36"/>
  <c r="O44" i="36"/>
  <c r="O40" i="36"/>
  <c r="O47" i="36"/>
  <c r="O43" i="36"/>
  <c r="O39" i="36"/>
  <c r="O28" i="36"/>
  <c r="O46" i="36"/>
  <c r="O42" i="36"/>
  <c r="L117" i="23"/>
  <c r="R56" i="23"/>
  <c r="U40" i="23" s="1"/>
  <c r="N115" i="23" s="1"/>
  <c r="U123" i="23" s="1"/>
  <c r="R49" i="23"/>
  <c r="U39" i="23" s="1"/>
  <c r="N114" i="23" s="1"/>
  <c r="U122" i="23" s="1"/>
  <c r="R63" i="23"/>
  <c r="U41" i="23" s="1"/>
  <c r="N116" i="23" s="1"/>
  <c r="U124" i="23" s="1"/>
  <c r="U51" i="27"/>
  <c r="R58" i="27" s="1"/>
  <c r="N95" i="27" s="1"/>
  <c r="M99" i="27"/>
  <c r="N41" i="27" l="1"/>
  <c r="I5" i="37"/>
  <c r="O21" i="46"/>
  <c r="J16" i="46"/>
  <c r="M25" i="46"/>
  <c r="M26" i="46" s="1"/>
  <c r="N25" i="46"/>
  <c r="N26" i="46" s="1"/>
  <c r="K16" i="46"/>
  <c r="U126" i="23"/>
  <c r="P10" i="42"/>
  <c r="U127" i="23"/>
  <c r="P11" i="42"/>
  <c r="U125" i="23"/>
  <c r="P9" i="42"/>
  <c r="Q36" i="27"/>
  <c r="M42" i="27" s="1"/>
  <c r="O13" i="42"/>
  <c r="O14" i="42" s="1"/>
  <c r="M13" i="37"/>
  <c r="K52" i="22"/>
  <c r="D204" i="25"/>
  <c r="D205" i="25" s="1"/>
  <c r="O140" i="25"/>
  <c r="L146" i="25" s="1"/>
  <c r="G198" i="25" s="1"/>
  <c r="O151" i="25"/>
  <c r="L135" i="25"/>
  <c r="G197" i="25" s="1"/>
  <c r="N174" i="25"/>
  <c r="K169" i="25"/>
  <c r="F201" i="25" s="1"/>
  <c r="H8" i="2"/>
  <c r="H9" i="2" s="1"/>
  <c r="H14" i="2" s="1"/>
  <c r="P118" i="25"/>
  <c r="P211" i="25"/>
  <c r="P215" i="25" s="1"/>
  <c r="K13" i="25"/>
  <c r="K18" i="25" s="1"/>
  <c r="K19" i="25" s="1"/>
  <c r="G19" i="2" s="1"/>
  <c r="M174" i="25"/>
  <c r="J169" i="25"/>
  <c r="E201" i="25" s="1"/>
  <c r="M13" i="2"/>
  <c r="T76" i="23"/>
  <c r="N10" i="36"/>
  <c r="N34" i="36" s="1"/>
  <c r="L13" i="2"/>
  <c r="L10" i="2" s="1"/>
  <c r="D79" i="27"/>
  <c r="H79" i="27" s="1"/>
  <c r="D82" i="27"/>
  <c r="K82" i="27" s="1"/>
  <c r="L82" i="27" s="1"/>
  <c r="M82" i="27" s="1"/>
  <c r="N82" i="27" s="1"/>
  <c r="O82" i="27" s="1"/>
  <c r="P82" i="27" s="1"/>
  <c r="Q82" i="27" s="1"/>
  <c r="D87" i="27"/>
  <c r="D83" i="27"/>
  <c r="L83" i="27" s="1"/>
  <c r="M83" i="27" s="1"/>
  <c r="N83" i="27" s="1"/>
  <c r="O83" i="27" s="1"/>
  <c r="P83" i="27" s="1"/>
  <c r="Q83" i="27" s="1"/>
  <c r="D85" i="27"/>
  <c r="D84" i="27"/>
  <c r="D81" i="27"/>
  <c r="J81" i="27" s="1"/>
  <c r="K81" i="27" s="1"/>
  <c r="L81" i="27" s="1"/>
  <c r="M81" i="27" s="1"/>
  <c r="N81" i="27" s="1"/>
  <c r="O81" i="27" s="1"/>
  <c r="P81" i="27" s="1"/>
  <c r="Q81" i="27" s="1"/>
  <c r="D80" i="27"/>
  <c r="I80" i="27" s="1"/>
  <c r="J80" i="27" s="1"/>
  <c r="K80" i="27" s="1"/>
  <c r="L80" i="27" s="1"/>
  <c r="M80" i="27" s="1"/>
  <c r="N80" i="27" s="1"/>
  <c r="O80" i="27" s="1"/>
  <c r="P80" i="27" s="1"/>
  <c r="Q80" i="27" s="1"/>
  <c r="D86" i="27"/>
  <c r="D88" i="27"/>
  <c r="M28" i="2"/>
  <c r="L17" i="2"/>
  <c r="S36" i="39"/>
  <c r="S37" i="39" s="1"/>
  <c r="S43" i="39" s="1"/>
  <c r="P34" i="39"/>
  <c r="P35" i="39" s="1"/>
  <c r="P37" i="39" s="1"/>
  <c r="P43" i="39" s="1"/>
  <c r="Q33" i="39"/>
  <c r="R60" i="39"/>
  <c r="Q59" i="39"/>
  <c r="J171" i="22"/>
  <c r="K171" i="22"/>
  <c r="L51" i="22"/>
  <c r="L47" i="22"/>
  <c r="M50" i="22"/>
  <c r="M56" i="22"/>
  <c r="M57" i="22" s="1"/>
  <c r="M58" i="22" s="1"/>
  <c r="M61" i="22" s="1"/>
  <c r="M49" i="22"/>
  <c r="M45" i="22"/>
  <c r="M48" i="22"/>
  <c r="M46" i="22"/>
  <c r="P41" i="22"/>
  <c r="N42" i="22"/>
  <c r="L62" i="22"/>
  <c r="N8" i="36"/>
  <c r="N32" i="36" s="1"/>
  <c r="N9" i="36"/>
  <c r="N33" i="36" s="1"/>
  <c r="M117" i="23"/>
  <c r="M12" i="36"/>
  <c r="M36" i="36" s="1"/>
  <c r="L12" i="36"/>
  <c r="L36" i="36" s="1"/>
  <c r="M7" i="36"/>
  <c r="M31" i="36" s="1"/>
  <c r="G15" i="2"/>
  <c r="G16" i="2" s="1"/>
  <c r="F15" i="2"/>
  <c r="F16" i="2" s="1"/>
  <c r="K5" i="36"/>
  <c r="K29" i="36" s="1"/>
  <c r="I13" i="36"/>
  <c r="I37" i="36" s="1"/>
  <c r="J6" i="36"/>
  <c r="J30" i="36" s="1"/>
  <c r="U42" i="23"/>
  <c r="M11" i="2"/>
  <c r="U43" i="23"/>
  <c r="M12" i="2"/>
  <c r="U44" i="23"/>
  <c r="H14" i="36"/>
  <c r="H38" i="36" s="1"/>
  <c r="H37" i="36"/>
  <c r="R65" i="23"/>
  <c r="N99" i="27"/>
  <c r="Q88" i="27" l="1"/>
  <c r="P88" i="27"/>
  <c r="P87" i="27"/>
  <c r="Q87" i="27" s="1"/>
  <c r="O87" i="27"/>
  <c r="O86" i="27"/>
  <c r="P86" i="27" s="1"/>
  <c r="Q86" i="27" s="1"/>
  <c r="N86" i="27"/>
  <c r="N85" i="27"/>
  <c r="O85" i="27" s="1"/>
  <c r="P85" i="27" s="1"/>
  <c r="Q85" i="27" s="1"/>
  <c r="M85" i="27"/>
  <c r="M84" i="27"/>
  <c r="N84" i="27" s="1"/>
  <c r="O84" i="27" s="1"/>
  <c r="P84" i="27" s="1"/>
  <c r="Q84" i="27" s="1"/>
  <c r="L84" i="27"/>
  <c r="U128" i="23"/>
  <c r="G20" i="37"/>
  <c r="G19" i="37" s="1"/>
  <c r="M10" i="46" s="1"/>
  <c r="M11" i="46" s="1"/>
  <c r="M27" i="46"/>
  <c r="M34" i="46" s="1"/>
  <c r="H20" i="37"/>
  <c r="H19" i="37" s="1"/>
  <c r="N10" i="46" s="1"/>
  <c r="N11" i="46" s="1"/>
  <c r="N27" i="46"/>
  <c r="N34" i="46" s="1"/>
  <c r="I16" i="37"/>
  <c r="O9" i="46"/>
  <c r="R36" i="27"/>
  <c r="N42" i="27" s="1"/>
  <c r="P13" i="42"/>
  <c r="P14" i="42" s="1"/>
  <c r="N13" i="37"/>
  <c r="L11" i="25"/>
  <c r="J10" i="37" s="1"/>
  <c r="P220" i="25"/>
  <c r="N185" i="25"/>
  <c r="K191" i="25" s="1"/>
  <c r="F203" i="25" s="1"/>
  <c r="K180" i="25"/>
  <c r="F202" i="25" s="1"/>
  <c r="J8" i="2"/>
  <c r="J9" i="2" s="1"/>
  <c r="J14" i="2" s="1"/>
  <c r="R211" i="25"/>
  <c r="R215" i="25" s="1"/>
  <c r="R220" i="25" s="1"/>
  <c r="R118" i="25"/>
  <c r="M185" i="25"/>
  <c r="J191" i="25" s="1"/>
  <c r="E203" i="25" s="1"/>
  <c r="J180" i="25"/>
  <c r="E202" i="25" s="1"/>
  <c r="P129" i="25"/>
  <c r="M124" i="25"/>
  <c r="H196" i="25" s="1"/>
  <c r="O163" i="25"/>
  <c r="L157" i="25"/>
  <c r="G199" i="25" s="1"/>
  <c r="G200" i="25" s="1"/>
  <c r="I8" i="2"/>
  <c r="I9" i="2" s="1"/>
  <c r="I14" i="2" s="1"/>
  <c r="Q118" i="25"/>
  <c r="Q211" i="25"/>
  <c r="Q215" i="25" s="1"/>
  <c r="Q220" i="25" s="1"/>
  <c r="M10" i="2"/>
  <c r="U75" i="23"/>
  <c r="U74" i="23"/>
  <c r="I79" i="27"/>
  <c r="H89" i="27"/>
  <c r="H91" i="27" s="1"/>
  <c r="E97" i="27" s="1"/>
  <c r="M17" i="2"/>
  <c r="T36" i="39"/>
  <c r="R33" i="39"/>
  <c r="Q34" i="39"/>
  <c r="S60" i="39"/>
  <c r="R59" i="39"/>
  <c r="L165" i="22"/>
  <c r="L52" i="22"/>
  <c r="M51" i="22"/>
  <c r="M47" i="22"/>
  <c r="M62" i="22"/>
  <c r="P42" i="22"/>
  <c r="N56" i="22"/>
  <c r="N57" i="22" s="1"/>
  <c r="N58" i="22" s="1"/>
  <c r="N61" i="22" s="1"/>
  <c r="N45" i="22"/>
  <c r="N50" i="22"/>
  <c r="N46" i="22"/>
  <c r="N48" i="22"/>
  <c r="N49" i="22"/>
  <c r="N12" i="36"/>
  <c r="N36" i="36" s="1"/>
  <c r="L5" i="36"/>
  <c r="L29" i="36" s="1"/>
  <c r="J11" i="36"/>
  <c r="J35" i="36" s="1"/>
  <c r="N7" i="36"/>
  <c r="N31" i="36" s="1"/>
  <c r="I14" i="36"/>
  <c r="I38" i="36" s="1"/>
  <c r="J13" i="36"/>
  <c r="K6" i="36"/>
  <c r="K30" i="36" s="1"/>
  <c r="J5" i="37" l="1"/>
  <c r="P21" i="46"/>
  <c r="O25" i="46"/>
  <c r="O26" i="46" s="1"/>
  <c r="L16" i="46"/>
  <c r="O13" i="37"/>
  <c r="F204" i="25"/>
  <c r="F205" i="25" s="1"/>
  <c r="O174" i="25"/>
  <c r="L169" i="25"/>
  <c r="G201" i="25" s="1"/>
  <c r="E204" i="25"/>
  <c r="E205" i="25" s="1"/>
  <c r="Q129" i="25"/>
  <c r="N124" i="25"/>
  <c r="I196" i="25" s="1"/>
  <c r="R129" i="25"/>
  <c r="O124" i="25"/>
  <c r="J196" i="25" s="1"/>
  <c r="P140" i="25"/>
  <c r="M146" i="25" s="1"/>
  <c r="H198" i="25" s="1"/>
  <c r="P151" i="25"/>
  <c r="M135" i="25"/>
  <c r="H197" i="25" s="1"/>
  <c r="L13" i="25"/>
  <c r="L18" i="25" s="1"/>
  <c r="L19" i="25" s="1"/>
  <c r="H19" i="2" s="1"/>
  <c r="U76" i="23"/>
  <c r="J79" i="27"/>
  <c r="I89" i="27"/>
  <c r="I91" i="27" s="1"/>
  <c r="F97" i="27" s="1"/>
  <c r="S33" i="39"/>
  <c r="R34" i="39"/>
  <c r="S59" i="39"/>
  <c r="T60" i="39"/>
  <c r="T59" i="39" s="1"/>
  <c r="L171" i="22"/>
  <c r="M165" i="22"/>
  <c r="M52" i="22"/>
  <c r="N47" i="22"/>
  <c r="N51" i="22"/>
  <c r="N62" i="22"/>
  <c r="O10" i="36"/>
  <c r="O34" i="36" s="1"/>
  <c r="O8" i="36"/>
  <c r="O32" i="36" s="1"/>
  <c r="O9" i="36"/>
  <c r="O33" i="36" s="1"/>
  <c r="N117" i="23"/>
  <c r="H15" i="2"/>
  <c r="H16" i="2" s="1"/>
  <c r="F20" i="2"/>
  <c r="O12" i="36"/>
  <c r="O36" i="36" s="1"/>
  <c r="L6" i="36"/>
  <c r="L30" i="36" s="1"/>
  <c r="J37" i="36"/>
  <c r="J14" i="36"/>
  <c r="J38" i="36" s="1"/>
  <c r="I20" i="37" l="1"/>
  <c r="I19" i="37" s="1"/>
  <c r="O10" i="46" s="1"/>
  <c r="O11" i="46" s="1"/>
  <c r="O27" i="46"/>
  <c r="O34" i="46" s="1"/>
  <c r="J16" i="37"/>
  <c r="P9" i="46"/>
  <c r="Q151" i="25"/>
  <c r="Q140" i="25"/>
  <c r="N146" i="25" s="1"/>
  <c r="I198" i="25" s="1"/>
  <c r="N135" i="25"/>
  <c r="I197" i="25" s="1"/>
  <c r="M5" i="36"/>
  <c r="M29" i="36" s="1"/>
  <c r="K8" i="2"/>
  <c r="K9" i="2" s="1"/>
  <c r="K14" i="2" s="1"/>
  <c r="S211" i="25"/>
  <c r="S215" i="25" s="1"/>
  <c r="S220" i="25" s="1"/>
  <c r="S118" i="25"/>
  <c r="P163" i="25"/>
  <c r="M157" i="25"/>
  <c r="H199" i="25" s="1"/>
  <c r="H200" i="25" s="1"/>
  <c r="R151" i="25"/>
  <c r="R140" i="25"/>
  <c r="O146" i="25" s="1"/>
  <c r="J198" i="25" s="1"/>
  <c r="O135" i="25"/>
  <c r="J197" i="25" s="1"/>
  <c r="O185" i="25"/>
  <c r="L191" i="25" s="1"/>
  <c r="G203" i="25" s="1"/>
  <c r="L180" i="25"/>
  <c r="G202" i="25" s="1"/>
  <c r="K79" i="27"/>
  <c r="J89" i="27"/>
  <c r="J91" i="27" s="1"/>
  <c r="G97" i="27" s="1"/>
  <c r="T34" i="39"/>
  <c r="S34" i="39"/>
  <c r="T33" i="39"/>
  <c r="T35" i="39" s="1"/>
  <c r="T37" i="39" s="1"/>
  <c r="T43" i="39" s="1"/>
  <c r="I15" i="2"/>
  <c r="I16" i="2" s="1"/>
  <c r="K11" i="36"/>
  <c r="K35" i="36" s="1"/>
  <c r="M171" i="22"/>
  <c r="N165" i="22"/>
  <c r="N52" i="22"/>
  <c r="L13" i="36"/>
  <c r="H20" i="2"/>
  <c r="L11" i="36"/>
  <c r="L35" i="36" s="1"/>
  <c r="G20" i="2"/>
  <c r="K13" i="36"/>
  <c r="K37" i="36" s="1"/>
  <c r="M16" i="46" l="1"/>
  <c r="P25" i="46"/>
  <c r="P26" i="46" s="1"/>
  <c r="L8" i="2"/>
  <c r="L9" i="2" s="1"/>
  <c r="L14" i="2" s="1"/>
  <c r="T118" i="25"/>
  <c r="T211" i="25"/>
  <c r="T215" i="25" s="1"/>
  <c r="T220" i="25" s="1"/>
  <c r="S129" i="25"/>
  <c r="P124" i="25"/>
  <c r="K196" i="25" s="1"/>
  <c r="G204" i="25"/>
  <c r="G205" i="25" s="1"/>
  <c r="Q163" i="25"/>
  <c r="N157" i="25"/>
  <c r="I199" i="25" s="1"/>
  <c r="I200" i="25" s="1"/>
  <c r="R163" i="25"/>
  <c r="O157" i="25"/>
  <c r="J199" i="25" s="1"/>
  <c r="J200" i="25" s="1"/>
  <c r="P174" i="25"/>
  <c r="M169" i="25"/>
  <c r="H201" i="25" s="1"/>
  <c r="L79" i="27"/>
  <c r="K89" i="27"/>
  <c r="K91" i="27" s="1"/>
  <c r="H97" i="27" s="1"/>
  <c r="M6" i="36"/>
  <c r="M30" i="36" s="1"/>
  <c r="M11" i="36"/>
  <c r="M35" i="36" s="1"/>
  <c r="N5" i="36"/>
  <c r="N29" i="36" s="1"/>
  <c r="N171" i="22"/>
  <c r="O7" i="36"/>
  <c r="O31" i="36" s="1"/>
  <c r="J15" i="2"/>
  <c r="J16" i="2" s="1"/>
  <c r="K14" i="36"/>
  <c r="K38" i="36" s="1"/>
  <c r="N6" i="36"/>
  <c r="N30" i="36" s="1"/>
  <c r="L37" i="36"/>
  <c r="L14" i="36"/>
  <c r="L38" i="36" s="1"/>
  <c r="P27" i="46" l="1"/>
  <c r="P34" i="46" s="1"/>
  <c r="J20" i="37"/>
  <c r="J19" i="37" s="1"/>
  <c r="P10" i="46" s="1"/>
  <c r="P11" i="46" s="1"/>
  <c r="O5" i="36"/>
  <c r="O29" i="36" s="1"/>
  <c r="M8" i="2"/>
  <c r="M9" i="2" s="1"/>
  <c r="M14" i="2" s="1"/>
  <c r="N14" i="2" s="1"/>
  <c r="N15" i="2" s="1"/>
  <c r="N16" i="2" s="1"/>
  <c r="U118" i="25"/>
  <c r="U211" i="25"/>
  <c r="U215" i="25" s="1"/>
  <c r="U220" i="25" s="1"/>
  <c r="S151" i="25"/>
  <c r="S140" i="25"/>
  <c r="P146" i="25" s="1"/>
  <c r="K198" i="25" s="1"/>
  <c r="P135" i="25"/>
  <c r="K197" i="25" s="1"/>
  <c r="T129" i="25"/>
  <c r="Q124" i="25"/>
  <c r="L196" i="25" s="1"/>
  <c r="P185" i="25"/>
  <c r="M191" i="25" s="1"/>
  <c r="H203" i="25" s="1"/>
  <c r="M180" i="25"/>
  <c r="H202" i="25" s="1"/>
  <c r="Q174" i="25"/>
  <c r="N169" i="25"/>
  <c r="I201" i="25" s="1"/>
  <c r="R174" i="25"/>
  <c r="O169" i="25"/>
  <c r="J201" i="25" s="1"/>
  <c r="M79" i="27"/>
  <c r="L89" i="27"/>
  <c r="L91" i="27" s="1"/>
  <c r="I97" i="27" s="1"/>
  <c r="K15" i="2"/>
  <c r="K16" i="2" s="1"/>
  <c r="N11" i="36"/>
  <c r="N35" i="36" s="1"/>
  <c r="M13" i="36"/>
  <c r="M37" i="36" s="1"/>
  <c r="H204" i="25" l="1"/>
  <c r="H205" i="25" s="1"/>
  <c r="U129" i="25"/>
  <c r="R124" i="25"/>
  <c r="M196" i="25" s="1"/>
  <c r="R185" i="25"/>
  <c r="O191" i="25" s="1"/>
  <c r="J203" i="25" s="1"/>
  <c r="O180" i="25"/>
  <c r="J202" i="25" s="1"/>
  <c r="Q185" i="25"/>
  <c r="N191" i="25" s="1"/>
  <c r="I203" i="25" s="1"/>
  <c r="N180" i="25"/>
  <c r="I202" i="25" s="1"/>
  <c r="T151" i="25"/>
  <c r="T140" i="25"/>
  <c r="Q146" i="25" s="1"/>
  <c r="L198" i="25" s="1"/>
  <c r="Q135" i="25"/>
  <c r="L197" i="25" s="1"/>
  <c r="S163" i="25"/>
  <c r="P157" i="25"/>
  <c r="K199" i="25" s="1"/>
  <c r="K200" i="25" s="1"/>
  <c r="M89" i="27"/>
  <c r="M91" i="27" s="1"/>
  <c r="J97" i="27" s="1"/>
  <c r="N79" i="27"/>
  <c r="O6" i="36"/>
  <c r="O30" i="36" s="1"/>
  <c r="O11" i="36"/>
  <c r="O35" i="36" s="1"/>
  <c r="L15" i="2"/>
  <c r="L16" i="2" s="1"/>
  <c r="N13" i="36"/>
  <c r="N37" i="36" s="1"/>
  <c r="M14" i="36"/>
  <c r="M38" i="36" s="1"/>
  <c r="I204" i="25" l="1"/>
  <c r="I205" i="25" s="1"/>
  <c r="J204" i="25"/>
  <c r="J205" i="25" s="1"/>
  <c r="T163" i="25"/>
  <c r="Q157" i="25"/>
  <c r="L199" i="25" s="1"/>
  <c r="L200" i="25" s="1"/>
  <c r="U140" i="25"/>
  <c r="R146" i="25" s="1"/>
  <c r="M198" i="25" s="1"/>
  <c r="U151" i="25"/>
  <c r="R135" i="25"/>
  <c r="M197" i="25" s="1"/>
  <c r="S174" i="25"/>
  <c r="P169" i="25"/>
  <c r="K201" i="25" s="1"/>
  <c r="N89" i="27"/>
  <c r="N91" i="27" s="1"/>
  <c r="K97" i="27" s="1"/>
  <c r="O79" i="27"/>
  <c r="M15" i="2"/>
  <c r="M16" i="2" s="1"/>
  <c r="N14" i="36"/>
  <c r="N38" i="36" s="1"/>
  <c r="O13" i="36"/>
  <c r="O14" i="36" s="1"/>
  <c r="O38" i="36" s="1"/>
  <c r="S185" i="25" l="1"/>
  <c r="P191" i="25" s="1"/>
  <c r="K203" i="25" s="1"/>
  <c r="P180" i="25"/>
  <c r="K202" i="25" s="1"/>
  <c r="T174" i="25"/>
  <c r="Q169" i="25"/>
  <c r="L201" i="25" s="1"/>
  <c r="U163" i="25"/>
  <c r="R157" i="25"/>
  <c r="M199" i="25" s="1"/>
  <c r="M200" i="25" s="1"/>
  <c r="O89" i="27"/>
  <c r="O91" i="27" s="1"/>
  <c r="L97" i="27" s="1"/>
  <c r="P79" i="27"/>
  <c r="O37" i="36"/>
  <c r="K204" i="25" l="1"/>
  <c r="K205" i="25" s="1"/>
  <c r="U174" i="25"/>
  <c r="R169" i="25"/>
  <c r="M201" i="25" s="1"/>
  <c r="T185" i="25"/>
  <c r="Q191" i="25" s="1"/>
  <c r="L203" i="25" s="1"/>
  <c r="Q180" i="25"/>
  <c r="L202" i="25" s="1"/>
  <c r="P89" i="27"/>
  <c r="P91" i="27" s="1"/>
  <c r="M97" i="27" s="1"/>
  <c r="Q79" i="27"/>
  <c r="Q89" i="27" s="1"/>
  <c r="Q91" i="27" s="1"/>
  <c r="N97" i="27" s="1"/>
  <c r="N31" i="25"/>
  <c r="R31" i="25"/>
  <c r="N52" i="25"/>
  <c r="O52" i="25" s="1"/>
  <c r="P52" i="25" s="1"/>
  <c r="Q52" i="25" s="1"/>
  <c r="R52" i="25" s="1"/>
  <c r="N75" i="25"/>
  <c r="O75" i="25" s="1"/>
  <c r="P75" i="25" s="1"/>
  <c r="Q75" i="25" s="1"/>
  <c r="R75" i="25" s="1"/>
  <c r="N86" i="25"/>
  <c r="O86" i="25" s="1"/>
  <c r="P86" i="25" s="1"/>
  <c r="Q86" i="25" s="1"/>
  <c r="R86" i="25" s="1"/>
  <c r="N97" i="25"/>
  <c r="O97" i="25" s="1"/>
  <c r="P97" i="25" s="1"/>
  <c r="Q97" i="25" s="1"/>
  <c r="R97" i="25" s="1"/>
  <c r="N63" i="25"/>
  <c r="O63" i="25" s="1"/>
  <c r="P63" i="25" s="1"/>
  <c r="Q63" i="25" s="1"/>
  <c r="R63" i="25" s="1"/>
  <c r="L204" i="25" l="1"/>
  <c r="L205" i="25" s="1"/>
  <c r="U185" i="25"/>
  <c r="R191" i="25" s="1"/>
  <c r="M203" i="25" s="1"/>
  <c r="R180" i="25"/>
  <c r="M202" i="25" s="1"/>
  <c r="M103" i="25"/>
  <c r="Q9" i="25" s="1"/>
  <c r="O8" i="37" s="1"/>
  <c r="I103" i="25"/>
  <c r="M9" i="25" s="1"/>
  <c r="K8" i="37" s="1"/>
  <c r="N64" i="25"/>
  <c r="N53" i="25"/>
  <c r="N76" i="25"/>
  <c r="N87" i="25"/>
  <c r="O76" i="25"/>
  <c r="J108" i="25" s="1"/>
  <c r="N14" i="25" s="1"/>
  <c r="L21" i="37" s="1"/>
  <c r="O98" i="25"/>
  <c r="O87" i="25"/>
  <c r="O53" i="25"/>
  <c r="O42" i="25"/>
  <c r="O64" i="25"/>
  <c r="O31" i="25"/>
  <c r="J103" i="25" s="1"/>
  <c r="N9" i="25" s="1"/>
  <c r="L8" i="37" s="1"/>
  <c r="N98" i="25"/>
  <c r="I110" i="25" s="1"/>
  <c r="M16" i="25" s="1"/>
  <c r="K26" i="37" s="1"/>
  <c r="N42" i="25"/>
  <c r="I104" i="25" s="1"/>
  <c r="M10" i="25" s="1"/>
  <c r="K9" i="37" s="1"/>
  <c r="M204" i="25" l="1"/>
  <c r="M205" i="25" s="1"/>
  <c r="I108" i="25"/>
  <c r="M14" i="25" s="1"/>
  <c r="K21" i="37" s="1"/>
  <c r="J109" i="25"/>
  <c r="N15" i="25" s="1"/>
  <c r="J110" i="25"/>
  <c r="N16" i="25" s="1"/>
  <c r="L26" i="37" s="1"/>
  <c r="J104" i="25"/>
  <c r="N10" i="25" s="1"/>
  <c r="L9" i="37" s="1"/>
  <c r="I105" i="25"/>
  <c r="M11" i="25" s="1"/>
  <c r="J106" i="25"/>
  <c r="N12" i="25" s="1"/>
  <c r="L14" i="37" s="1"/>
  <c r="L11" i="37" s="1"/>
  <c r="J105" i="25"/>
  <c r="N11" i="25" s="1"/>
  <c r="L10" i="37" s="1"/>
  <c r="I109" i="25"/>
  <c r="M15" i="25" s="1"/>
  <c r="K22" i="37" s="1"/>
  <c r="I106" i="25"/>
  <c r="M12" i="25" s="1"/>
  <c r="K14" i="37" s="1"/>
  <c r="K11" i="37" s="1"/>
  <c r="P42" i="25"/>
  <c r="P87" i="25"/>
  <c r="P64" i="25"/>
  <c r="P98" i="25"/>
  <c r="P53" i="25"/>
  <c r="Q31" i="25"/>
  <c r="L103" i="25" s="1"/>
  <c r="P9" i="25" s="1"/>
  <c r="N8" i="37" s="1"/>
  <c r="P31" i="25"/>
  <c r="K103" i="25" s="1"/>
  <c r="O9" i="25" s="1"/>
  <c r="M8" i="37" s="1"/>
  <c r="P76" i="25"/>
  <c r="K108" i="25" s="1"/>
  <c r="O14" i="25" s="1"/>
  <c r="M21" i="37" s="1"/>
  <c r="R21" i="46" l="1"/>
  <c r="L5" i="37"/>
  <c r="R9" i="46" s="1"/>
  <c r="R25" i="46" s="1"/>
  <c r="M13" i="25"/>
  <c r="K10" i="37"/>
  <c r="K5" i="37" s="1"/>
  <c r="N17" i="25"/>
  <c r="L22" i="37"/>
  <c r="M17" i="25"/>
  <c r="M18" i="25" s="1"/>
  <c r="M19" i="25" s="1"/>
  <c r="I19" i="2" s="1"/>
  <c r="N13" i="25"/>
  <c r="J111" i="25"/>
  <c r="I107" i="25"/>
  <c r="K106" i="25"/>
  <c r="O12" i="25" s="1"/>
  <c r="M14" i="37" s="1"/>
  <c r="M11" i="37" s="1"/>
  <c r="K105" i="25"/>
  <c r="O11" i="25" s="1"/>
  <c r="M10" i="37" s="1"/>
  <c r="K109" i="25"/>
  <c r="O15" i="25" s="1"/>
  <c r="I111" i="25"/>
  <c r="K110" i="25"/>
  <c r="O16" i="25" s="1"/>
  <c r="M26" i="37" s="1"/>
  <c r="K104" i="25"/>
  <c r="O10" i="25" s="1"/>
  <c r="M9" i="37" s="1"/>
  <c r="J107" i="25"/>
  <c r="R87" i="25"/>
  <c r="Q87" i="25"/>
  <c r="R98" i="25"/>
  <c r="Q98" i="25"/>
  <c r="R42" i="25"/>
  <c r="M104" i="25" s="1"/>
  <c r="Q10" i="25" s="1"/>
  <c r="O9" i="37" s="1"/>
  <c r="Q42" i="25"/>
  <c r="R76" i="25"/>
  <c r="M108" i="25" s="1"/>
  <c r="Q14" i="25" s="1"/>
  <c r="O21" i="37" s="1"/>
  <c r="Q76" i="25"/>
  <c r="L108" i="25" s="1"/>
  <c r="P14" i="25" s="1"/>
  <c r="N21" i="37" s="1"/>
  <c r="R53" i="25"/>
  <c r="Q53" i="25"/>
  <c r="R64" i="25"/>
  <c r="Q64" i="25"/>
  <c r="M5" i="37" l="1"/>
  <c r="S9" i="46" s="1"/>
  <c r="P16" i="46" s="1"/>
  <c r="O16" i="46"/>
  <c r="L16" i="37"/>
  <c r="Q21" i="46"/>
  <c r="K16" i="37"/>
  <c r="Q9" i="46"/>
  <c r="S21" i="46"/>
  <c r="R26" i="46"/>
  <c r="N18" i="25"/>
  <c r="N19" i="25" s="1"/>
  <c r="J19" i="2" s="1"/>
  <c r="O17" i="25"/>
  <c r="M22" i="37"/>
  <c r="O13" i="25"/>
  <c r="I112" i="25"/>
  <c r="J112" i="25"/>
  <c r="K107" i="25"/>
  <c r="K111" i="25"/>
  <c r="M106" i="25"/>
  <c r="Q12" i="25" s="1"/>
  <c r="O14" i="37" s="1"/>
  <c r="O11" i="37" s="1"/>
  <c r="L106" i="25"/>
  <c r="P12" i="25" s="1"/>
  <c r="N14" i="37" s="1"/>
  <c r="N11" i="37" s="1"/>
  <c r="L104" i="25"/>
  <c r="P10" i="25" s="1"/>
  <c r="N9" i="37" s="1"/>
  <c r="L105" i="25"/>
  <c r="P11" i="25" s="1"/>
  <c r="N10" i="37" s="1"/>
  <c r="M105" i="25"/>
  <c r="Q11" i="25" s="1"/>
  <c r="L110" i="25"/>
  <c r="P16" i="25" s="1"/>
  <c r="N26" i="37" s="1"/>
  <c r="L109" i="25"/>
  <c r="P15" i="25" s="1"/>
  <c r="M110" i="25"/>
  <c r="Q16" i="25" s="1"/>
  <c r="O26" i="37" s="1"/>
  <c r="M109" i="25"/>
  <c r="Q15" i="25" s="1"/>
  <c r="S25" i="46" l="1"/>
  <c r="S26" i="46" s="1"/>
  <c r="M16" i="37"/>
  <c r="N5" i="37"/>
  <c r="T9" i="46" s="1"/>
  <c r="Q25" i="46"/>
  <c r="Q26" i="46" s="1"/>
  <c r="R27" i="46" s="1"/>
  <c r="R34" i="46" s="1"/>
  <c r="N16" i="46"/>
  <c r="L20" i="37"/>
  <c r="L19" i="37" s="1"/>
  <c r="R10" i="46" s="1"/>
  <c r="R11" i="46" s="1"/>
  <c r="T21" i="46"/>
  <c r="Q13" i="25"/>
  <c r="O10" i="37"/>
  <c r="O5" i="37" s="1"/>
  <c r="O18" i="25"/>
  <c r="O19" i="25" s="1"/>
  <c r="K19" i="2" s="1"/>
  <c r="Q17" i="25"/>
  <c r="O22" i="37"/>
  <c r="P17" i="25"/>
  <c r="N22" i="37"/>
  <c r="P13" i="25"/>
  <c r="I20" i="2"/>
  <c r="M107" i="25"/>
  <c r="M111" i="25"/>
  <c r="L111" i="25"/>
  <c r="K112" i="25"/>
  <c r="L107" i="25"/>
  <c r="T25" i="46" l="1"/>
  <c r="T26" i="46" s="1"/>
  <c r="Q16" i="46"/>
  <c r="N16" i="37"/>
  <c r="U21" i="46"/>
  <c r="O16" i="37"/>
  <c r="U9" i="46"/>
  <c r="K20" i="37"/>
  <c r="K19" i="37" s="1"/>
  <c r="Q10" i="46" s="1"/>
  <c r="Q11" i="46" s="1"/>
  <c r="Q27" i="46"/>
  <c r="Q34" i="46" s="1"/>
  <c r="M20" i="37"/>
  <c r="M19" i="37" s="1"/>
  <c r="S10" i="46" s="1"/>
  <c r="S11" i="46" s="1"/>
  <c r="S27" i="46"/>
  <c r="S34" i="46" s="1"/>
  <c r="Q18" i="25"/>
  <c r="P18" i="25"/>
  <c r="P19" i="25" s="1"/>
  <c r="L19" i="2" s="1"/>
  <c r="M112" i="25"/>
  <c r="L112" i="25"/>
  <c r="J20" i="2"/>
  <c r="U25" i="46" l="1"/>
  <c r="U26" i="46" s="1"/>
  <c r="U27" i="46" s="1"/>
  <c r="U34" i="46" s="1"/>
  <c r="R16" i="46"/>
  <c r="N20" i="37"/>
  <c r="N19" i="37" s="1"/>
  <c r="T10" i="46" s="1"/>
  <c r="T11" i="46" s="1"/>
  <c r="T27" i="46"/>
  <c r="T34" i="46" s="1"/>
  <c r="Q19" i="25"/>
  <c r="M19" i="2" s="1"/>
  <c r="N19" i="2" s="1"/>
  <c r="N20" i="2" s="1"/>
  <c r="K20" i="2"/>
  <c r="L20" i="2"/>
  <c r="O20" i="37" l="1"/>
  <c r="O19" i="37" s="1"/>
  <c r="U10" i="46" s="1"/>
  <c r="U11" i="46" s="1"/>
  <c r="M20" i="2"/>
  <c r="G50" i="30"/>
  <c r="G70" i="30"/>
  <c r="M35" i="37"/>
  <c r="I50" i="30"/>
  <c r="I70" i="30"/>
  <c r="O23" i="37"/>
  <c r="O6" i="37"/>
  <c r="U24" i="46"/>
  <c r="Q24" i="46"/>
  <c r="J81" i="30"/>
  <c r="H70" i="30"/>
  <c r="H50" i="30"/>
  <c r="J35" i="37"/>
  <c r="H24" i="42"/>
  <c r="L50" i="30"/>
  <c r="L70" i="30"/>
  <c r="J59" i="30"/>
  <c r="M26" i="42"/>
  <c r="J70" i="30"/>
  <c r="J50" i="30"/>
  <c r="I28" i="42"/>
  <c r="L27" i="44"/>
  <c r="R24" i="46"/>
  <c r="D70" i="30"/>
  <c r="K70" i="30"/>
  <c r="K50" i="30"/>
  <c r="J23" i="37"/>
  <c r="O24" i="46"/>
  <c r="S24" i="46"/>
  <c r="N35" i="37"/>
  <c r="J19" i="44"/>
  <c r="G26" i="42"/>
  <c r="M24" i="46"/>
  <c r="H35" i="37"/>
  <c r="J65" i="30"/>
  <c r="E50" i="30"/>
  <c r="E70" i="30"/>
  <c r="K19" i="44"/>
  <c r="N59" i="30"/>
  <c r="M28" i="42"/>
  <c r="P27" i="44"/>
  <c r="H59" i="30"/>
  <c r="M27" i="44"/>
  <c r="L23" i="37"/>
  <c r="T36" i="46"/>
  <c r="O24" i="42"/>
  <c r="P24" i="46"/>
  <c r="P28" i="42"/>
  <c r="I35" i="37"/>
  <c r="L80" i="30"/>
  <c r="L81" i="30"/>
  <c r="H28" i="42"/>
  <c r="K27" i="44"/>
  <c r="M52" i="30"/>
  <c r="N52" i="30"/>
  <c r="H23" i="37"/>
  <c r="O12" i="44"/>
  <c r="M19" i="44"/>
  <c r="N23" i="37"/>
  <c r="L59" i="30"/>
  <c r="O35" i="37"/>
  <c r="M35" i="46"/>
  <c r="M36" i="46"/>
  <c r="N34" i="37"/>
  <c r="O34" i="37"/>
  <c r="K23" i="37"/>
  <c r="F50" i="30"/>
  <c r="F70" i="30"/>
  <c r="N33" i="37"/>
  <c r="O33" i="37"/>
  <c r="N80" i="30"/>
  <c r="N81" i="30"/>
  <c r="L24" i="46"/>
  <c r="F35" i="37"/>
  <c r="F59" i="30"/>
  <c r="N24" i="46"/>
  <c r="N50" i="30"/>
  <c r="L35" i="37"/>
  <c r="J64" i="30"/>
  <c r="I26" i="42"/>
  <c r="G64" i="30"/>
  <c r="G65" i="30"/>
  <c r="I29" i="42"/>
  <c r="N12" i="44"/>
  <c r="L19" i="44"/>
  <c r="K35" i="37"/>
  <c r="M50" i="30"/>
  <c r="M70" i="30"/>
  <c r="O26" i="42"/>
  <c r="F64" i="30"/>
  <c r="F65" i="30"/>
  <c r="K24" i="42"/>
  <c r="I59" i="30"/>
  <c r="O29" i="46"/>
  <c r="O35" i="46"/>
  <c r="O36" i="46"/>
  <c r="J24" i="42"/>
  <c r="D59" i="30"/>
  <c r="G24" i="2"/>
  <c r="M29" i="46"/>
  <c r="M29" i="42"/>
  <c r="R12" i="44"/>
  <c r="P19" i="44"/>
  <c r="P26" i="42"/>
  <c r="G59" i="30"/>
  <c r="I52" i="30"/>
  <c r="J52" i="30"/>
  <c r="K52" i="30"/>
  <c r="L52" i="30"/>
  <c r="N26" i="42"/>
  <c r="T24" i="46"/>
  <c r="H26" i="42"/>
  <c r="N70" i="30"/>
  <c r="N68" i="30"/>
  <c r="N69" i="30"/>
  <c r="G29" i="42"/>
  <c r="L12" i="44"/>
  <c r="H64" i="30"/>
  <c r="H65" i="30"/>
  <c r="J26" i="42"/>
  <c r="R19" i="44"/>
  <c r="I64" i="30"/>
  <c r="I65" i="30"/>
  <c r="I23" i="37"/>
  <c r="D152" i="23"/>
  <c r="D183" i="22"/>
  <c r="F32" i="2"/>
  <c r="D51" i="43"/>
  <c r="L64" i="30"/>
  <c r="L65" i="30"/>
  <c r="G35" i="37"/>
  <c r="J77" i="30"/>
  <c r="K80" i="30"/>
  <c r="K81" i="30"/>
  <c r="P29" i="42"/>
  <c r="U12" i="44"/>
  <c r="G23" i="37"/>
  <c r="J27" i="44"/>
  <c r="K59" i="30"/>
  <c r="K69" i="30"/>
  <c r="K51" i="30"/>
  <c r="K58" i="30"/>
  <c r="K77" i="30"/>
  <c r="T29" i="46"/>
  <c r="T35" i="46"/>
  <c r="O29" i="42"/>
  <c r="T12" i="44"/>
  <c r="I77" i="30"/>
  <c r="J80" i="30"/>
  <c r="M77" i="30"/>
  <c r="M58" i="30"/>
  <c r="M59" i="30"/>
  <c r="J28" i="42"/>
  <c r="J29" i="42"/>
  <c r="M23" i="37"/>
  <c r="L29" i="42"/>
  <c r="Q12" i="44"/>
  <c r="O19" i="44"/>
  <c r="E59" i="30"/>
  <c r="U29" i="46"/>
  <c r="U35" i="46"/>
  <c r="U36" i="46"/>
  <c r="P24" i="42"/>
  <c r="H29" i="42"/>
  <c r="M12" i="44"/>
  <c r="S29" i="46"/>
  <c r="S35" i="46"/>
  <c r="S36" i="46"/>
  <c r="N24" i="42"/>
  <c r="E64" i="30"/>
  <c r="E65" i="30"/>
  <c r="P29" i="46"/>
  <c r="P35" i="46"/>
  <c r="P36" i="46"/>
  <c r="O28" i="42"/>
  <c r="R27" i="44"/>
  <c r="K28" i="42"/>
  <c r="N27" i="44"/>
  <c r="K26" i="42"/>
  <c r="N29" i="46"/>
  <c r="N35" i="46"/>
  <c r="N36" i="46"/>
  <c r="I24" i="42"/>
  <c r="N28" i="42"/>
  <c r="Q27" i="44"/>
  <c r="K24" i="37"/>
  <c r="I63" i="30"/>
  <c r="I68" i="30"/>
  <c r="I69" i="30"/>
  <c r="I51" i="30"/>
  <c r="I58" i="30"/>
  <c r="F23" i="2"/>
  <c r="G23" i="2"/>
  <c r="K29" i="42"/>
  <c r="P12" i="44"/>
  <c r="N19" i="44"/>
  <c r="M64" i="30"/>
  <c r="M65" i="30"/>
  <c r="S28" i="46"/>
  <c r="M24" i="37"/>
  <c r="K63" i="30"/>
  <c r="K68" i="30"/>
  <c r="I81" i="30"/>
  <c r="L28" i="42"/>
  <c r="O27" i="44"/>
  <c r="K64" i="30"/>
  <c r="K65" i="30"/>
  <c r="D69" i="30"/>
  <c r="D51" i="30"/>
  <c r="D58" i="30"/>
  <c r="D77" i="30"/>
  <c r="E80" i="30"/>
  <c r="E81" i="30"/>
  <c r="T28" i="46"/>
  <c r="N24" i="37"/>
  <c r="L63" i="30"/>
  <c r="L68" i="30"/>
  <c r="L69" i="30"/>
  <c r="L51" i="30"/>
  <c r="L58" i="30"/>
  <c r="L77" i="30"/>
  <c r="M80" i="30"/>
  <c r="M81" i="30"/>
  <c r="F23" i="37"/>
  <c r="R29" i="46"/>
  <c r="R35" i="46"/>
  <c r="R36" i="46"/>
  <c r="M24" i="42"/>
  <c r="L26" i="42"/>
  <c r="M28" i="46"/>
  <c r="G24" i="37"/>
  <c r="E63" i="30"/>
  <c r="E68" i="30"/>
  <c r="E69" i="30"/>
  <c r="E51" i="30"/>
  <c r="E58" i="30"/>
  <c r="E77" i="30"/>
  <c r="F80" i="30"/>
  <c r="F81" i="30"/>
  <c r="Q28" i="46"/>
  <c r="Q29" i="46"/>
  <c r="Q35" i="46"/>
  <c r="Q36" i="46"/>
  <c r="L24" i="42"/>
  <c r="U28" i="46"/>
  <c r="O24" i="37"/>
  <c r="M63" i="30"/>
  <c r="M68" i="30"/>
  <c r="M69" i="30"/>
  <c r="M51" i="30"/>
  <c r="N51" i="30"/>
  <c r="N58" i="30"/>
  <c r="N77" i="30"/>
  <c r="O80" i="30"/>
  <c r="F24" i="2"/>
  <c r="F25" i="2"/>
  <c r="F28" i="2"/>
  <c r="C4" i="32"/>
  <c r="D6" i="32"/>
  <c r="D8" i="32"/>
  <c r="F24" i="37"/>
  <c r="D63" i="30"/>
  <c r="D68" i="30"/>
  <c r="D50" i="30"/>
  <c r="D52" i="30"/>
  <c r="E52" i="30"/>
  <c r="F52" i="30"/>
  <c r="G52" i="30"/>
  <c r="H52" i="30"/>
  <c r="P28" i="46"/>
  <c r="J24" i="37"/>
  <c r="H63" i="30"/>
  <c r="H68" i="30"/>
  <c r="H69" i="30"/>
  <c r="H51" i="30"/>
  <c r="H58" i="30"/>
  <c r="H77" i="30"/>
  <c r="I80" i="30"/>
  <c r="D64" i="30"/>
  <c r="D65" i="30"/>
  <c r="O28" i="46"/>
  <c r="I24" i="37"/>
  <c r="G63" i="30"/>
  <c r="G68" i="30"/>
  <c r="G69" i="30"/>
  <c r="G51" i="30"/>
  <c r="G58" i="30"/>
  <c r="G77" i="30"/>
  <c r="H80" i="30"/>
  <c r="H81" i="30"/>
  <c r="F77" i="30"/>
  <c r="G80" i="30"/>
  <c r="G81" i="30"/>
  <c r="R28" i="46"/>
  <c r="L24" i="37"/>
  <c r="J63" i="30"/>
  <c r="J68" i="30"/>
  <c r="J69" i="30"/>
  <c r="J51" i="30"/>
  <c r="J58" i="30"/>
  <c r="N28" i="46"/>
  <c r="H24" i="37"/>
  <c r="F63" i="30"/>
  <c r="F68" i="30"/>
  <c r="F69" i="30"/>
  <c r="F51" i="30"/>
  <c r="F58" i="30"/>
  <c r="G28" i="42"/>
  <c r="F34" i="37"/>
  <c r="G34" i="37"/>
  <c r="H34" i="37"/>
  <c r="I34" i="37"/>
  <c r="J34" i="37"/>
  <c r="K34" i="37"/>
  <c r="L34" i="37"/>
  <c r="M34" i="37"/>
  <c r="G33" i="37"/>
  <c r="H33" i="37"/>
  <c r="I33" i="37"/>
  <c r="J33" i="37"/>
  <c r="K33" i="37"/>
  <c r="L33" i="37"/>
  <c r="M33" i="37"/>
  <c r="N29" i="42"/>
  <c r="S12" i="44"/>
  <c r="Q19" i="44"/>
  <c r="N22" i="42"/>
  <c r="N25" i="42"/>
  <c r="N27" i="42"/>
  <c r="M32" i="37"/>
  <c r="M29" i="37"/>
  <c r="M28" i="37"/>
  <c r="S22" i="46"/>
  <c r="S23" i="46"/>
  <c r="M6" i="37"/>
  <c r="O23" i="42"/>
  <c r="O22" i="42"/>
  <c r="O25" i="42"/>
  <c r="O27" i="42"/>
  <c r="N32" i="37"/>
  <c r="N29" i="37"/>
  <c r="N28" i="37"/>
  <c r="T22" i="46"/>
  <c r="T23" i="46"/>
  <c r="N6" i="37"/>
  <c r="P23" i="42"/>
  <c r="P22" i="42"/>
  <c r="P25" i="42"/>
  <c r="P27" i="42"/>
  <c r="O32" i="37"/>
  <c r="O29" i="37"/>
  <c r="O28" i="37"/>
  <c r="U22" i="46"/>
  <c r="U23" i="46"/>
  <c r="L28" i="46"/>
  <c r="L29" i="46"/>
  <c r="L35" i="46"/>
  <c r="L36" i="46"/>
  <c r="G24" i="42"/>
  <c r="G22" i="42"/>
  <c r="G25" i="42"/>
  <c r="G27" i="42"/>
  <c r="F32" i="37"/>
  <c r="F29" i="37"/>
  <c r="F28" i="37"/>
  <c r="L22" i="46"/>
  <c r="L23" i="46"/>
  <c r="F6" i="37"/>
  <c r="H23" i="42"/>
  <c r="H22" i="42"/>
  <c r="H25" i="42"/>
  <c r="H27" i="42"/>
  <c r="G32" i="37"/>
  <c r="G29" i="37"/>
  <c r="G28" i="37"/>
  <c r="M22" i="46"/>
  <c r="M23" i="46"/>
  <c r="G6" i="37"/>
  <c r="I23" i="42"/>
  <c r="I22" i="42"/>
  <c r="I25" i="42"/>
  <c r="I27" i="42"/>
  <c r="H32" i="37"/>
  <c r="H29" i="37"/>
  <c r="H28" i="37"/>
  <c r="N22" i="46"/>
  <c r="N23" i="46"/>
  <c r="H6" i="37"/>
  <c r="J23" i="42"/>
  <c r="J22" i="42"/>
  <c r="J25" i="42"/>
  <c r="J27" i="42"/>
  <c r="I32" i="37"/>
  <c r="I29" i="37"/>
  <c r="I28" i="37"/>
  <c r="O22" i="46"/>
  <c r="O23" i="46"/>
  <c r="I6" i="37"/>
  <c r="K23" i="42"/>
  <c r="K22" i="42"/>
  <c r="K25" i="42"/>
  <c r="K27" i="42"/>
  <c r="J32" i="37"/>
  <c r="J29" i="37"/>
  <c r="J28" i="37"/>
  <c r="P22" i="46"/>
  <c r="P23" i="46"/>
  <c r="J6" i="37"/>
  <c r="L23" i="42"/>
  <c r="L22" i="42"/>
  <c r="L25" i="42"/>
  <c r="L27" i="42"/>
  <c r="K32" i="37"/>
  <c r="K29" i="37"/>
  <c r="K28" i="37"/>
  <c r="Q22" i="46"/>
  <c r="Q23" i="46"/>
  <c r="K6" i="37"/>
  <c r="M23" i="42"/>
  <c r="M22" i="42"/>
  <c r="M25" i="42"/>
  <c r="M27" i="42"/>
  <c r="L32" i="37"/>
  <c r="L29" i="37"/>
  <c r="L28" i="37"/>
  <c r="R22" i="46"/>
  <c r="R23" i="46"/>
  <c r="L6" i="37"/>
  <c r="N23" i="42"/>
</calcChain>
</file>

<file path=xl/comments1.xml><?xml version="1.0" encoding="utf-8"?>
<comments xmlns="http://schemas.openxmlformats.org/spreadsheetml/2006/main">
  <authors>
    <author>Hoca</author>
  </authors>
  <commentList>
    <comment ref="D21" authorId="0" shapeId="0">
      <text>
        <r>
          <rPr>
            <b/>
            <sz val="8"/>
            <color indexed="81"/>
            <rFont val="Tahoma"/>
            <family val="2"/>
            <charset val="162"/>
          </rPr>
          <t>Hoca:</t>
        </r>
        <r>
          <rPr>
            <sz val="8"/>
            <color indexed="81"/>
            <rFont val="Tahoma"/>
            <family val="2"/>
            <charset val="162"/>
          </rPr>
          <t xml:space="preserve">
YS: Nakit akışların yılsonunda elde edildiğiniz varsayar
YO: Nakit Akışların Ortalama Yıl Ortasında Elde Edildiğini Varsayar..</t>
        </r>
      </text>
    </comment>
  </commentList>
</comments>
</file>

<file path=xl/comments2.xml><?xml version="1.0" encoding="utf-8"?>
<comments xmlns="http://schemas.openxmlformats.org/spreadsheetml/2006/main">
  <authors>
    <author>Hoca</author>
  </authors>
  <commentList>
    <comment ref="C10" authorId="0" shapeId="0">
      <text>
        <r>
          <rPr>
            <b/>
            <sz val="8"/>
            <color indexed="81"/>
            <rFont val="Tahoma"/>
            <family val="2"/>
            <charset val="162"/>
          </rPr>
          <t>Hoca:</t>
        </r>
        <r>
          <rPr>
            <sz val="8"/>
            <color indexed="81"/>
            <rFont val="Tahoma"/>
            <family val="2"/>
            <charset val="162"/>
          </rPr>
          <t xml:space="preserve">
Örneğin aktiflerde olan bir gayrimenkulden elde edilen kira gelirleri...</t>
        </r>
      </text>
    </comment>
    <comment ref="Y10" authorId="0" shapeId="0">
      <text>
        <r>
          <rPr>
            <b/>
            <sz val="8"/>
            <color indexed="81"/>
            <rFont val="Tahoma"/>
            <family val="2"/>
            <charset val="162"/>
          </rPr>
          <t>Hoca:</t>
        </r>
        <r>
          <rPr>
            <sz val="8"/>
            <color indexed="81"/>
            <rFont val="Tahoma"/>
            <family val="2"/>
            <charset val="162"/>
          </rPr>
          <t xml:space="preserve">
Örneğin aktiflerde olan bir gayrimenkulden elde edilen kira gelirleri...</t>
        </r>
      </text>
    </comment>
    <comment ref="B16" authorId="0" shapeId="0">
      <text>
        <r>
          <rPr>
            <b/>
            <sz val="8"/>
            <color indexed="81"/>
            <rFont val="Tahoma"/>
            <family val="2"/>
            <charset val="162"/>
          </rPr>
          <t>Hoca:</t>
        </r>
        <r>
          <rPr>
            <sz val="8"/>
            <color indexed="81"/>
            <rFont val="Tahoma"/>
            <family val="2"/>
            <charset val="162"/>
          </rPr>
          <t xml:space="preserve">
yada Normalized EBITDA</t>
        </r>
      </text>
    </comment>
    <comment ref="X16" authorId="0" shapeId="0">
      <text>
        <r>
          <rPr>
            <b/>
            <sz val="8"/>
            <color indexed="81"/>
            <rFont val="Tahoma"/>
            <family val="2"/>
            <charset val="162"/>
          </rPr>
          <t>Hoca:</t>
        </r>
        <r>
          <rPr>
            <sz val="8"/>
            <color indexed="81"/>
            <rFont val="Tahoma"/>
            <family val="2"/>
            <charset val="162"/>
          </rPr>
          <t xml:space="preserve">
yada Normalized EBITDA</t>
        </r>
      </text>
    </comment>
    <comment ref="B17" authorId="0" shapeId="0">
      <text>
        <r>
          <rPr>
            <b/>
            <sz val="8"/>
            <color indexed="81"/>
            <rFont val="Tahoma"/>
            <family val="2"/>
            <charset val="162"/>
          </rPr>
          <t>Hoca:</t>
        </r>
        <r>
          <rPr>
            <sz val="8"/>
            <color indexed="81"/>
            <rFont val="Tahoma"/>
            <family val="2"/>
            <charset val="162"/>
          </rPr>
          <t xml:space="preserve">
yada Normalized EBITDA</t>
        </r>
      </text>
    </comment>
  </commentList>
</comments>
</file>

<file path=xl/comments3.xml><?xml version="1.0" encoding="utf-8"?>
<comments xmlns="http://schemas.openxmlformats.org/spreadsheetml/2006/main">
  <authors>
    <author>Hoca</author>
  </authors>
  <commentList>
    <comment ref="C10" authorId="0" shapeId="0">
      <text>
        <r>
          <rPr>
            <b/>
            <sz val="8"/>
            <color indexed="81"/>
            <rFont val="Tahoma"/>
            <family val="2"/>
            <charset val="162"/>
          </rPr>
          <t>Hoca:</t>
        </r>
        <r>
          <rPr>
            <sz val="8"/>
            <color indexed="81"/>
            <rFont val="Tahoma"/>
            <family val="2"/>
            <charset val="162"/>
          </rPr>
          <t xml:space="preserve">
Örneğin aktiflerde olan bir gayrimenkulden elde edilen kira gelirleri...</t>
        </r>
      </text>
    </comment>
    <comment ref="B16" authorId="0" shapeId="0">
      <text>
        <r>
          <rPr>
            <b/>
            <sz val="8"/>
            <color indexed="81"/>
            <rFont val="Tahoma"/>
            <family val="2"/>
            <charset val="162"/>
          </rPr>
          <t>Hoca:</t>
        </r>
        <r>
          <rPr>
            <sz val="8"/>
            <color indexed="81"/>
            <rFont val="Tahoma"/>
            <family val="2"/>
            <charset val="162"/>
          </rPr>
          <t xml:space="preserve">
yada Normalized EBITDA</t>
        </r>
      </text>
    </comment>
  </commentList>
</comments>
</file>

<file path=xl/comments4.xml><?xml version="1.0" encoding="utf-8"?>
<comments xmlns="http://schemas.openxmlformats.org/spreadsheetml/2006/main">
  <authors>
    <author>Hünkar İvgen</author>
  </authors>
  <commentList>
    <comment ref="G8" authorId="0" shapeId="0">
      <text>
        <r>
          <rPr>
            <b/>
            <sz val="9"/>
            <color indexed="81"/>
            <rFont val="Tahoma"/>
            <family val="2"/>
            <charset val="162"/>
          </rPr>
          <t>Hünkar İvgen:</t>
        </r>
        <r>
          <rPr>
            <sz val="9"/>
            <color indexed="81"/>
            <rFont val="Tahoma"/>
            <family val="2"/>
            <charset val="162"/>
          </rPr>
          <t xml:space="preserve">
1-)Tarihsel Satışların Yüzdesi,
2-)Regresyon Analizi,
3-)Karma Model,
4-)Baz Yıl Değeri</t>
        </r>
      </text>
    </comment>
  </commentList>
</comments>
</file>

<file path=xl/comments5.xml><?xml version="1.0" encoding="utf-8"?>
<comments xmlns="http://schemas.openxmlformats.org/spreadsheetml/2006/main">
  <authors>
    <author>HUNKAR</author>
  </authors>
  <commentList>
    <comment ref="C51" authorId="0" shapeId="0">
      <text>
        <r>
          <rPr>
            <b/>
            <sz val="9"/>
            <color indexed="81"/>
            <rFont val="Tahoma"/>
            <family val="2"/>
          </rPr>
          <t>HUNKAR:</t>
        </r>
        <r>
          <rPr>
            <sz val="9"/>
            <color indexed="81"/>
            <rFont val="Tahoma"/>
            <family val="2"/>
          </rPr>
          <t xml:space="preserve">
Brüt Maddi Duran Varllıkların dipnotlardan çekilmesi gerekiyor...</t>
        </r>
      </text>
    </comment>
    <comment ref="L51" authorId="0" shapeId="0">
      <text>
        <r>
          <rPr>
            <b/>
            <sz val="9"/>
            <color indexed="81"/>
            <rFont val="Tahoma"/>
            <family val="2"/>
          </rPr>
          <t>HUNKAR:</t>
        </r>
        <r>
          <rPr>
            <sz val="9"/>
            <color indexed="81"/>
            <rFont val="Tahoma"/>
            <family val="2"/>
          </rPr>
          <t xml:space="preserve">
Brüt maddi duran varlıklar çekilince formülü düzeltiniz...</t>
        </r>
      </text>
    </comment>
  </commentList>
</comments>
</file>

<file path=xl/comments6.xml><?xml version="1.0" encoding="utf-8"?>
<comments xmlns="http://schemas.openxmlformats.org/spreadsheetml/2006/main">
  <authors>
    <author>Hoca</author>
  </authors>
  <commentList>
    <comment ref="C13" authorId="0" shapeId="0">
      <text>
        <r>
          <rPr>
            <b/>
            <sz val="8"/>
            <color indexed="81"/>
            <rFont val="Tahoma"/>
            <family val="2"/>
            <charset val="162"/>
          </rPr>
          <t>Hoca:</t>
        </r>
        <r>
          <rPr>
            <sz val="8"/>
            <color indexed="81"/>
            <rFont val="Tahoma"/>
            <family val="2"/>
            <charset val="162"/>
          </rPr>
          <t xml:space="preserve">
Karpayı önceki yılın karı üzerinden ödendiği için ilgili yılda ödenen karpayı, bir önceki yılın net dönem karına bölünmektedir.</t>
        </r>
      </text>
    </comment>
  </commentList>
</comments>
</file>

<file path=xl/comments7.xml><?xml version="1.0" encoding="utf-8"?>
<comments xmlns="http://schemas.openxmlformats.org/spreadsheetml/2006/main">
  <authors>
    <author>Hoca</author>
  </authors>
  <commentList>
    <comment ref="C11" authorId="0" shapeId="0">
      <text>
        <r>
          <rPr>
            <b/>
            <sz val="8"/>
            <color indexed="81"/>
            <rFont val="Tahoma"/>
            <family val="2"/>
            <charset val="162"/>
          </rPr>
          <t>Hoca:</t>
        </r>
        <r>
          <rPr>
            <sz val="8"/>
            <color indexed="81"/>
            <rFont val="Tahoma"/>
            <family val="2"/>
            <charset val="162"/>
          </rPr>
          <t xml:space="preserve">
Karpayı önceki yılın karı üzerinden ödendiği için ilgili yılda ödenen karpayı, bir önceki yılın net dönem karına bölünmektedir.</t>
        </r>
      </text>
    </comment>
  </commentList>
</comments>
</file>

<file path=xl/comments8.xml><?xml version="1.0" encoding="utf-8"?>
<comments xmlns="http://schemas.openxmlformats.org/spreadsheetml/2006/main">
  <authors>
    <author>Hoca</author>
  </authors>
  <commentList>
    <comment ref="C14" authorId="0" shapeId="0">
      <text>
        <r>
          <rPr>
            <b/>
            <sz val="8"/>
            <color indexed="81"/>
            <rFont val="Tahoma"/>
            <family val="2"/>
            <charset val="162"/>
          </rPr>
          <t>Hoca:</t>
        </r>
        <r>
          <rPr>
            <sz val="8"/>
            <color indexed="81"/>
            <rFont val="Tahoma"/>
            <family val="2"/>
            <charset val="162"/>
          </rPr>
          <t xml:space="preserve">
Karpayı önceki yılın karı üzerinden ödendiği için ilgili yılda ödenen karpayı, bir önceki yılın net dönem karına bölünmektedir.</t>
        </r>
      </text>
    </comment>
  </commentList>
</comments>
</file>

<file path=xl/comments9.xml><?xml version="1.0" encoding="utf-8"?>
<comments xmlns="http://schemas.openxmlformats.org/spreadsheetml/2006/main">
  <authors>
    <author>HUNKAR</author>
  </authors>
  <commentList>
    <comment ref="B43" authorId="0" shapeId="0">
      <text>
        <r>
          <rPr>
            <b/>
            <sz val="9"/>
            <color indexed="81"/>
            <rFont val="Tahoma"/>
            <family val="2"/>
          </rPr>
          <t>HUNKAR:</t>
        </r>
        <r>
          <rPr>
            <sz val="9"/>
            <color indexed="81"/>
            <rFont val="Tahoma"/>
            <family val="2"/>
          </rPr>
          <t xml:space="preserve">
Include ST Provisions</t>
        </r>
      </text>
    </comment>
  </commentList>
</comments>
</file>

<file path=xl/sharedStrings.xml><?xml version="1.0" encoding="utf-8"?>
<sst xmlns="http://schemas.openxmlformats.org/spreadsheetml/2006/main" count="3725" uniqueCount="1811">
  <si>
    <t>ARCLK</t>
  </si>
  <si>
    <t>NET DÖNEM KARI/ZARARI</t>
  </si>
  <si>
    <t>Krediler ve Avanslar</t>
  </si>
  <si>
    <t>Finans Sektörü Faal. Alacaklar</t>
  </si>
  <si>
    <t>Stoklar</t>
  </si>
  <si>
    <t>Türev Enstrümanlar</t>
  </si>
  <si>
    <t>Uzun Vadeli Ticari Alacaklar</t>
  </si>
  <si>
    <t>Finansal Borçlar</t>
  </si>
  <si>
    <t>Mevduat</t>
  </si>
  <si>
    <t>Türev Araçlar</t>
  </si>
  <si>
    <t>Finans Sektörü Faaliyetlerinden Borçlar</t>
  </si>
  <si>
    <t>Ticari Borçlar</t>
  </si>
  <si>
    <t>Bloke Hesaplar</t>
  </si>
  <si>
    <t>Durdurulan faaliyetler ile ilgili yükümlülükler</t>
  </si>
  <si>
    <t>Uzun Vadeli Yükümlülükler</t>
  </si>
  <si>
    <t>Mevduatlar</t>
  </si>
  <si>
    <t>Türev Finansal Araçlardan Borçlar</t>
  </si>
  <si>
    <t>Aile Üyeleri</t>
  </si>
  <si>
    <t>Sermaye</t>
  </si>
  <si>
    <t>Ödenmeyen Sermaye(-)</t>
  </si>
  <si>
    <t>Sermaye Yedekleri</t>
  </si>
  <si>
    <t>Sermaye Taahhütleri (-)</t>
  </si>
  <si>
    <t>Emisyon Primi</t>
  </si>
  <si>
    <t>Kar Yedekleri</t>
  </si>
  <si>
    <t>Zarar Telafi Fonu</t>
  </si>
  <si>
    <t>Esas Faaliyet Gelirleri</t>
  </si>
  <si>
    <t>Faiz Geliri</t>
  </si>
  <si>
    <t>Faiz Gideri</t>
  </si>
  <si>
    <t>Hizmet Gelirleri</t>
  </si>
  <si>
    <t>Hizmet Giderleri (-)</t>
  </si>
  <si>
    <t>Finans Sektörü Faaliyetlerinden brüt kar (zarar)</t>
  </si>
  <si>
    <t>Faaliyet Giderleri (-)</t>
  </si>
  <si>
    <t>Genel Yönetim Giderleri</t>
  </si>
  <si>
    <t>Garanti Gideri (-)</t>
  </si>
  <si>
    <t>Finansman Giderleri (-)</t>
  </si>
  <si>
    <t>Uzun Vadeli Borçlanma Giderleri</t>
  </si>
  <si>
    <t>Vergi Öncesi Kar/Zarar</t>
  </si>
  <si>
    <t>Ödenecek Vergi ve Yasal Yükümlülükler (-)</t>
  </si>
  <si>
    <t>Dönem Vergi Gelir/Gideri</t>
  </si>
  <si>
    <t>Dönen Varlıklar</t>
  </si>
  <si>
    <t>Finansal Yatırımlar</t>
  </si>
  <si>
    <t>Menkul Kıymetler</t>
  </si>
  <si>
    <t>Türkiye Cumhuriyet Merkez Bankası Hesabı</t>
  </si>
  <si>
    <t>Faktoring alacakları (net)</t>
  </si>
  <si>
    <t>Kısa Vadeli Ticari Alacaklar</t>
  </si>
  <si>
    <t>Finansal Kiralama Alacakları</t>
  </si>
  <si>
    <t>Canlı Varlıklar</t>
  </si>
  <si>
    <t>Kullanımı Kısıtlı Banka Bakiyeleri</t>
  </si>
  <si>
    <t>Ertelenen Vergi Varlıkları</t>
  </si>
  <si>
    <t>Durdurulan faaliyetler ile ilgili varlıklar</t>
  </si>
  <si>
    <t>Vadesine kadar elde tut. men. kıy.</t>
  </si>
  <si>
    <t>Satılmaya Hazır Finansal Varlıklar</t>
  </si>
  <si>
    <t>Alım Satım Amaçlı Menkul Kıymetler</t>
  </si>
  <si>
    <t>Elden Çıkarılacak Faaliyetler ile ılgili Varlıklar</t>
  </si>
  <si>
    <t>Satım amaçlı elde tutulan maddi duran varlıklar</t>
  </si>
  <si>
    <t>Duran Varlıklar</t>
  </si>
  <si>
    <t>Finansal Duran Varlıklar</t>
  </si>
  <si>
    <t>Yatırım Amaçlı Gayrimenkuller</t>
  </si>
  <si>
    <t>Alım Satım Amaçlı Gayrimenkuller (net)</t>
  </si>
  <si>
    <t>Maddi Duran Varlıklar</t>
  </si>
  <si>
    <t>Maddi Olmayan Duran Varlıklar</t>
  </si>
  <si>
    <t>TOPLAM AKTıFLER</t>
  </si>
  <si>
    <t>Kısa Vadeli Yükümlülükler</t>
  </si>
  <si>
    <t>Uzun Vadeli Finansal Borçların Kısa Vadeli Kısımları</t>
  </si>
  <si>
    <t>Faktoring borçları</t>
  </si>
  <si>
    <t>Alınan Krediler</t>
  </si>
  <si>
    <t>Alınan Avanslar</t>
  </si>
  <si>
    <t>Elden Çıkarılacak Faaliyetler ile ılgili Yükümlülükler</t>
  </si>
  <si>
    <t>Öz Sermaye (Azınlık Payı Dahil)</t>
  </si>
  <si>
    <t>Katkı sermaye</t>
  </si>
  <si>
    <t>Sermaye artırımı ile ilgili masraflar</t>
  </si>
  <si>
    <t>Net Dönem Karı</t>
  </si>
  <si>
    <t>Dönem Zararı (-)</t>
  </si>
  <si>
    <t>Net Dön. Kar. Ser. Hes. Ed. Tran. Ed. M. Dur. V. Sa. Karı</t>
  </si>
  <si>
    <t>Yabancı Para Çevrim Farkları</t>
  </si>
  <si>
    <t>Özsermaye Enf. Düz. Farkları</t>
  </si>
  <si>
    <t>Azınlık Payları</t>
  </si>
  <si>
    <t>TOPLAM PASıFLER</t>
  </si>
  <si>
    <t>Kambiyo Karı/Zararı</t>
  </si>
  <si>
    <t>Brüt Esas Faaliyet Karı/Zararı</t>
  </si>
  <si>
    <t>Net Esas Faaliyet Karı/Zararı</t>
  </si>
  <si>
    <t>Kısa Vadeli Borçlanma Giderleri</t>
  </si>
  <si>
    <t>Faaliyet Karı veya Zararı</t>
  </si>
  <si>
    <t>Önceki Dönem Gelir ve Karları</t>
  </si>
  <si>
    <t>Önceki Dönem Gider ve Zararları (-)</t>
  </si>
  <si>
    <t>Net Parasal Pozisyon Karı / Zararı</t>
  </si>
  <si>
    <t>Menkul kıymet reeskont gelir/gider</t>
  </si>
  <si>
    <t>Azınlık Payı</t>
  </si>
  <si>
    <t>Çevrim Karı/Zararı</t>
  </si>
  <si>
    <t>Durdurulan Faaliyetler ıle ılgili Net Dönem Karı</t>
  </si>
  <si>
    <t>Azınlık Payları Net Dönem Karı/Zararı</t>
  </si>
  <si>
    <t>Ana Ortaklık Payları Net Dönem Karı/Zararı</t>
  </si>
  <si>
    <t>Hazır Değerler</t>
  </si>
  <si>
    <t>Diğer Kısa Vadeli Alacaklar</t>
  </si>
  <si>
    <t>Diğer Dönen Varlıklar</t>
  </si>
  <si>
    <t>Diğer Uzun Vadeli Alacaklar</t>
  </si>
  <si>
    <t>Özkaynak Yöntemiyle Değerlenen Yatırımlar</t>
  </si>
  <si>
    <t>Diğer Duran Varlıklar</t>
  </si>
  <si>
    <t>Diğer Finansal Yükümlülükler</t>
  </si>
  <si>
    <t>Diğer Borçlar</t>
  </si>
  <si>
    <t>Cari Dönem Vergi Yükümlülüğü</t>
  </si>
  <si>
    <t>Ertelenen Vergi Yükümlülüğü</t>
  </si>
  <si>
    <t>Diğer Kısa Vadeli Borçlar</t>
  </si>
  <si>
    <t>Diğer Uzun Vadeli Borçlar</t>
  </si>
  <si>
    <t>Diğerleri</t>
  </si>
  <si>
    <t>ÖZ SERMAYE (ANA ORTAKLIğA AıT)</t>
  </si>
  <si>
    <t>Diğer ındirimler (-)</t>
  </si>
  <si>
    <t>Esas Faaliyetlerden Diğer Gider/Gelir</t>
  </si>
  <si>
    <t>Faiz, Ücret, Prim, Komisyon ve Diğer Gelirler</t>
  </si>
  <si>
    <t>Faiz, Ücret, Prim, Komisyon ve Diğer Giderler (-)</t>
  </si>
  <si>
    <t>Diğer Faaliyetlerden Gelir ve Karlar</t>
  </si>
  <si>
    <t>Bağlı Ortaklardan Temettü Gelirleri</t>
  </si>
  <si>
    <t>Faiz ve Diğer Temettü Gelirleri</t>
  </si>
  <si>
    <t>Faaliyetlerle ılgili Diğer Gelirler</t>
  </si>
  <si>
    <t>Diğer Faaliyetlerden Zararlar ve Giderler (-)</t>
  </si>
  <si>
    <t>Özkaynak Yönt. Değer. Yat. Kar/Zararlarındaki Paylar</t>
  </si>
  <si>
    <t>Olağanüstü Gelirler ve Karlar</t>
  </si>
  <si>
    <t>Diğer Olağanüstü Gelirler ve Karlar</t>
  </si>
  <si>
    <t>Olağanüstü Giderler ve Zararlar (-)</t>
  </si>
  <si>
    <t>Diğer Olağanüstü Giderler ve Zararlar (-)</t>
  </si>
  <si>
    <t>Satılmaya Haz.Fin.Var.Kay.Makul Değ.Gelir/Gider</t>
  </si>
  <si>
    <t>İlişkili Taraflardan Alacaklar</t>
  </si>
  <si>
    <t>Peşin Ödenen Kira Giderleri</t>
  </si>
  <si>
    <t>Devam Eden Sözleşmelere ılişkin Varlıklar</t>
  </si>
  <si>
    <t>Pozitif/Negatif şerefiye</t>
  </si>
  <si>
    <t>Ana Ortaklık Dışı Paylar</t>
  </si>
  <si>
    <t>Finansal Kiralama ışlemlerinden Borçlar</t>
  </si>
  <si>
    <t>Sigorta Teknik Karşılığı</t>
  </si>
  <si>
    <t>Devlet Teşvik ve Yardımları</t>
  </si>
  <si>
    <t>Devam Eden Sözleşmeler Hakediş Bedelleri</t>
  </si>
  <si>
    <t>Borç ve Gider Karşılıkları</t>
  </si>
  <si>
    <t>Çalışanlara Sağlanan Faydalara ılişkin Karşılıklar</t>
  </si>
  <si>
    <t>Sigorta teknik karşılıkları</t>
  </si>
  <si>
    <t>Ana Ortaklık Dışı Özsermaye</t>
  </si>
  <si>
    <t>Karşılıklı ıştirak Sermaye Düzeltmesi</t>
  </si>
  <si>
    <t>Azınlık Hisseleri Satış Opsiyonu Değerleme Fonu</t>
  </si>
  <si>
    <t>Yeniden Değerleme Artışı</t>
  </si>
  <si>
    <t>Dağıtılmamış Kar</t>
  </si>
  <si>
    <t>Nakit Akım Koruması ile ılgili Birikmiş Kar</t>
  </si>
  <si>
    <t>Karşılıklı ıştirak Serm. Düzeltmesinin Nom. Tut. Aşan Kısım</t>
  </si>
  <si>
    <t>Finansal Yatırımlar Değer Artış Fonu</t>
  </si>
  <si>
    <t>Geçmiş Yıl Karları</t>
  </si>
  <si>
    <t>Geçmiş Yıl Zararları (-)</t>
  </si>
  <si>
    <t>Kardan Ayrılan Kısıtlanmış Yedekler</t>
  </si>
  <si>
    <t>Kardan Ayrılan Kısıtlanmış Yedekler (27)</t>
  </si>
  <si>
    <t>Sermaye Birleşme Fonu</t>
  </si>
  <si>
    <t>Birikmiş Karlar/Zararlar</t>
  </si>
  <si>
    <t>Yatırım Teşvikleri</t>
  </si>
  <si>
    <t>Satılmaya Haz. Var. Üz. Gerçekleşmemiş Net Gelir</t>
  </si>
  <si>
    <t>Ana ortaklık hisse satış kar/zarar</t>
  </si>
  <si>
    <t>Brüt Satışlar</t>
  </si>
  <si>
    <t>Yurtiçi Satışlar</t>
  </si>
  <si>
    <t>Yurtdışı Satışlar</t>
  </si>
  <si>
    <t>Diğer Satışlar</t>
  </si>
  <si>
    <t>Satışlardan ındirimler (-)</t>
  </si>
  <si>
    <t>Satışdan ıadeler (-)</t>
  </si>
  <si>
    <t>Satış ıskontoları (-)</t>
  </si>
  <si>
    <t>Satışların Maliyeti (-)</t>
  </si>
  <si>
    <t>Muhtemel Kredi Zarar Karş. Fin.Kir. Alck. Karş. ve Fakt. Değ. Düş. Karş.</t>
  </si>
  <si>
    <t>Sermaye Piyasası ışlem Karı/Zararı</t>
  </si>
  <si>
    <t>Araştırma ve Geliştirme Giderleri</t>
  </si>
  <si>
    <t>Pazarlama Satış ve Dağıtım Giderleri</t>
  </si>
  <si>
    <t>şerefiye ıtfa Payı</t>
  </si>
  <si>
    <t>Durdurulan Faal. Satışından Elde Edilen Gelir</t>
  </si>
  <si>
    <t>(Esas Faaliyet Dışı) Finansal Gelirler</t>
  </si>
  <si>
    <t>(Esas Faaliyet Dışı) Finansal Giderler (-)</t>
  </si>
  <si>
    <t>Konusu Kalmayan Karşılıklar</t>
  </si>
  <si>
    <t>Çalışmayan Kısım Giderler ve Zararları (-)</t>
  </si>
  <si>
    <t>ıştiraklerden gelir/gider</t>
  </si>
  <si>
    <t>Ana Ortaklık Dışı Kar/Zarar</t>
  </si>
  <si>
    <t>Ertelenmiş Vergi Gelir/Gideri</t>
  </si>
  <si>
    <t>Satış Grubuyla ılgili Kar/Zarar</t>
  </si>
  <si>
    <t>Durdurulan Faaliyetlere ılişkin Ana Ortaklık Dışı Paylar</t>
  </si>
  <si>
    <t>İş Ortaklıklarının Dönen Varlıklar ıçindeki Payı</t>
  </si>
  <si>
    <t>İş Ortaklıklarının Duran Varlıklar ıçindeki Payı</t>
  </si>
  <si>
    <t>İlişkili Taraflara Borçlar</t>
  </si>
  <si>
    <t>İş Ortaklıklarının Kısa Vadeli Yükümlülükler ıçindeki Payı</t>
  </si>
  <si>
    <t>İş Ortaklıklarının Uzun Vadeli Yükümlülükler ıçindeki Payı</t>
  </si>
  <si>
    <t>İşletmenin Geri Satın Alınan Kendi Hisseleri</t>
  </si>
  <si>
    <t>İlave Ödenmiş Sermaye</t>
  </si>
  <si>
    <t>İştiraklerden Temettü Gelirleri</t>
  </si>
  <si>
    <t>SATIŞ GELİRLERİ</t>
  </si>
  <si>
    <t>Toplam</t>
  </si>
  <si>
    <t>Balance Sheet, TL mn</t>
  </si>
  <si>
    <t>Cash &amp; cash equivalents</t>
  </si>
  <si>
    <t>Short term trade receivables</t>
  </si>
  <si>
    <t>Inventories</t>
  </si>
  <si>
    <t>Other current assets</t>
  </si>
  <si>
    <t>Long Term Financial Assets</t>
  </si>
  <si>
    <t>Goodwill</t>
  </si>
  <si>
    <t>Other Long Terms Assets</t>
  </si>
  <si>
    <t>Total Assets</t>
  </si>
  <si>
    <t>Short term financial loans</t>
  </si>
  <si>
    <t>Short term trade payables</t>
  </si>
  <si>
    <t>Short-Term Provisions</t>
  </si>
  <si>
    <t>Other short term liabilities</t>
  </si>
  <si>
    <t>Long term trade payables</t>
  </si>
  <si>
    <t>Long-Term Provisions</t>
  </si>
  <si>
    <t>Provisions for Retirment Pay</t>
  </si>
  <si>
    <t>Deferred tax liabilities</t>
  </si>
  <si>
    <t>Other long term liabilities</t>
  </si>
  <si>
    <t>Total Shareholders' Equity</t>
  </si>
  <si>
    <t>Minority Interests</t>
  </si>
  <si>
    <t>Total Liabilities + Equity</t>
  </si>
  <si>
    <t>Income Statement, TL mn</t>
  </si>
  <si>
    <t>Cost of sales</t>
  </si>
  <si>
    <t>Gross Profit/(Loss)</t>
  </si>
  <si>
    <t>Operating Expenses</t>
  </si>
  <si>
    <t>EBIT</t>
  </si>
  <si>
    <t>Depreciation</t>
  </si>
  <si>
    <t>Profit (Loss) from Subsidiaries</t>
  </si>
  <si>
    <t>Net Income / (Loss) from other Op.</t>
  </si>
  <si>
    <t xml:space="preserve">  Income from other operations</t>
  </si>
  <si>
    <t xml:space="preserve">  Expenses from other operations</t>
  </si>
  <si>
    <t>Net Financial Income / (Loss)</t>
  </si>
  <si>
    <t xml:space="preserve">  Financial income</t>
  </si>
  <si>
    <t xml:space="preserve">  Financial expenses</t>
  </si>
  <si>
    <t>Net Profit after Taxes</t>
  </si>
  <si>
    <t>Parent Shares</t>
  </si>
  <si>
    <t>Tangible Fixed Assets</t>
  </si>
  <si>
    <t>Intangible Fixed Assets</t>
  </si>
  <si>
    <t>EDIT</t>
  </si>
  <si>
    <t>Revenues</t>
  </si>
  <si>
    <t>Amortisman ve İtfa Giderleri</t>
  </si>
  <si>
    <t xml:space="preserve">   R&amp;D Expenses</t>
  </si>
  <si>
    <t xml:space="preserve">   Marketing, Selling and Dist. Exp.</t>
  </si>
  <si>
    <t xml:space="preserve">   General Administ. Exp.</t>
  </si>
  <si>
    <t>Pre-tax Income</t>
  </si>
  <si>
    <t>Taxes</t>
  </si>
  <si>
    <t>EBITDA</t>
  </si>
  <si>
    <t>Total Sales</t>
  </si>
  <si>
    <t>Diğer</t>
  </si>
  <si>
    <t>= Input on this sheet</t>
  </si>
  <si>
    <t>= Link to historical data</t>
  </si>
  <si>
    <t>Inflation</t>
  </si>
  <si>
    <t>GDP</t>
  </si>
  <si>
    <t>USD/TL_YearEnd</t>
  </si>
  <si>
    <t>USD/TL_Average</t>
  </si>
  <si>
    <t>Satışlar</t>
  </si>
  <si>
    <t xml:space="preserve">  Yurtiçi Satışlar</t>
  </si>
  <si>
    <t xml:space="preserve">  Yurtdışı Satışlar</t>
  </si>
  <si>
    <t xml:space="preserve">  Diğer</t>
  </si>
  <si>
    <t>Yatırım Tutarları</t>
  </si>
  <si>
    <t>S-4 YIL</t>
  </si>
  <si>
    <t>S-3 YIL</t>
  </si>
  <si>
    <t>S-2 YIL</t>
  </si>
  <si>
    <t>S-1 YIL</t>
  </si>
  <si>
    <t>S-5 YIL</t>
  </si>
  <si>
    <t>S-6 YIL</t>
  </si>
  <si>
    <t>AOB</t>
  </si>
  <si>
    <t>SATIŞLARIN TAHMİNİ</t>
  </si>
  <si>
    <t>A.</t>
  </si>
  <si>
    <t>Historical Data</t>
  </si>
  <si>
    <t>Tahmini Satışlar</t>
  </si>
  <si>
    <t>Enflasyon</t>
  </si>
  <si>
    <t>Yurtiçi Reel Büyüme Oranı</t>
  </si>
  <si>
    <t>Yurtdışı Reel Büyüme Oranı</t>
  </si>
  <si>
    <t>Yurtiçi Nominal Büyüme Oranı</t>
  </si>
  <si>
    <t>Yurtdışı Nominal Büyüme Oranı</t>
  </si>
  <si>
    <t>Diğer Reel Büyüme Oranı</t>
  </si>
  <si>
    <t>Diğer Satışlar Büyüme Oranı</t>
  </si>
  <si>
    <t>Toplam Satışlar</t>
  </si>
  <si>
    <t>Growth Rate</t>
  </si>
  <si>
    <t xml:space="preserve"> = Calculation</t>
  </si>
  <si>
    <t>Tahmini Toplam Satışlar</t>
  </si>
  <si>
    <t>B.</t>
  </si>
  <si>
    <t>Sales</t>
  </si>
  <si>
    <t>+</t>
  </si>
  <si>
    <t>USD VE TL YE GÖRE DEĞİŞİM OLMUYOR…</t>
  </si>
  <si>
    <t>Değerleme Kuru</t>
  </si>
  <si>
    <t>Yöntem</t>
  </si>
  <si>
    <t>CoS</t>
  </si>
  <si>
    <t>SMM</t>
  </si>
  <si>
    <t>SMM/Satışlar</t>
  </si>
  <si>
    <t>Min SMM/Satışlar</t>
  </si>
  <si>
    <t>Ortalama SMM/Satışlar</t>
  </si>
  <si>
    <t>Medyan SMM/Satışlar</t>
  </si>
  <si>
    <t>CoS/S</t>
  </si>
  <si>
    <t>1.Adım</t>
  </si>
  <si>
    <t>Satışların Tahmini Yapılır</t>
  </si>
  <si>
    <t>Satışların Maliyetinin Tahmini</t>
  </si>
  <si>
    <t>SATIŞLARDAN İADE ve İNDİRİMLER</t>
  </si>
  <si>
    <t>C.</t>
  </si>
  <si>
    <t>SD</t>
  </si>
  <si>
    <t>NET SATIŞLAR</t>
  </si>
  <si>
    <t>2.Adım</t>
  </si>
  <si>
    <t>Net Sales</t>
  </si>
  <si>
    <t>Hammadde Fiyatlarındaki Değişim</t>
  </si>
  <si>
    <t>%</t>
  </si>
  <si>
    <t>Hammadde Maliyeti</t>
  </si>
  <si>
    <t>Direkt İşçilik Gideri</t>
  </si>
  <si>
    <t>Direkt Giderler</t>
  </si>
  <si>
    <t>Değişken Genel Üretim Gideri</t>
  </si>
  <si>
    <t>Sabit Genel Üretim Gideri</t>
  </si>
  <si>
    <t>Amortisman Giderleri</t>
  </si>
  <si>
    <t>Genel Üretim Giderleri</t>
  </si>
  <si>
    <t>Satışların Maliyeti</t>
  </si>
  <si>
    <t>D.</t>
  </si>
  <si>
    <t>Base Year</t>
  </si>
  <si>
    <t>E.</t>
  </si>
  <si>
    <t>SMM/Satış</t>
  </si>
  <si>
    <t>FG/Satışlar</t>
  </si>
  <si>
    <t>Faaliyet Giderleri (FG)</t>
  </si>
  <si>
    <t>AR-GE</t>
  </si>
  <si>
    <t>Pazarlama,Satış ve Dağıtım</t>
  </si>
  <si>
    <t>Genel Yönetim Gideri</t>
  </si>
  <si>
    <t>FG</t>
  </si>
  <si>
    <t>AR-GE/Satışlar</t>
  </si>
  <si>
    <t>PSD/Satışlar</t>
  </si>
  <si>
    <t>GYG/Satışlar</t>
  </si>
  <si>
    <t>Min AR-GE/Satışlar</t>
  </si>
  <si>
    <t>Max AR-GE/Satışlar</t>
  </si>
  <si>
    <t>Ortalama AR-GE/Satışlar</t>
  </si>
  <si>
    <t>Medyan AR-GE/Satışlar</t>
  </si>
  <si>
    <t>Weighted AR-GE/Satışlar</t>
  </si>
  <si>
    <t>ARGE</t>
  </si>
  <si>
    <t>PSD</t>
  </si>
  <si>
    <t>ARGE/Satış</t>
  </si>
  <si>
    <t>PSD/Satış</t>
  </si>
  <si>
    <t>Min PSD/Satışlar</t>
  </si>
  <si>
    <t>Max PSD/Satışlar</t>
  </si>
  <si>
    <t>Ortalama PSD/Satışlar</t>
  </si>
  <si>
    <t>Medyan PSD/Satışlar</t>
  </si>
  <si>
    <t>Weighted PSD/Satışlar</t>
  </si>
  <si>
    <t>GYG</t>
  </si>
  <si>
    <t>Min GYG/Satışlar</t>
  </si>
  <si>
    <t>Max GYG/Satışlar</t>
  </si>
  <si>
    <t>Ortalama GYG/Satışlar</t>
  </si>
  <si>
    <t>Medyan GYG/Satışlar</t>
  </si>
  <si>
    <t>Weighted GYG/Satışlar</t>
  </si>
  <si>
    <t>GYG/Satış</t>
  </si>
  <si>
    <t>Opex</t>
  </si>
  <si>
    <t>Faaliyet Giderlerinin Tahmini</t>
  </si>
  <si>
    <t>Diğer Net Gelirlerin Tahmini</t>
  </si>
  <si>
    <t>Otnin</t>
  </si>
  <si>
    <t>FİNANSAL PERFORMANS ORANLARI</t>
  </si>
  <si>
    <t>FİNANSAL ORANLAR</t>
  </si>
  <si>
    <t>Likidite Oranları</t>
  </si>
  <si>
    <t>Finansal Yapı Oranları</t>
  </si>
  <si>
    <t>Faaliyet Oranları</t>
  </si>
  <si>
    <t>Karlılık Oranları</t>
  </si>
  <si>
    <t>Büyüme Oranları</t>
  </si>
  <si>
    <t xml:space="preserve"> Cari Oran</t>
  </si>
  <si>
    <t xml:space="preserve"> Asit-test Oranı</t>
  </si>
  <si>
    <t xml:space="preserve"> Toplam Borç/Özsermaye</t>
  </si>
  <si>
    <t xml:space="preserve"> K.V.Borç/Toplam Borç</t>
  </si>
  <si>
    <t xml:space="preserve"> Finansal Borç/Toplam Borç</t>
  </si>
  <si>
    <t xml:space="preserve"> Toplam Borç/Toplam Aktif</t>
  </si>
  <si>
    <t xml:space="preserve"> Cari Varlık Devir Hızı</t>
  </si>
  <si>
    <t xml:space="preserve"> Stok Devir Hızı</t>
  </si>
  <si>
    <t xml:space="preserve"> Stok Elde Kalış Süresi (Gün)</t>
  </si>
  <si>
    <t xml:space="preserve"> Alacak Devir Hızı</t>
  </si>
  <si>
    <t xml:space="preserve"> Alacak Tahsil Süresi (Gün)</t>
  </si>
  <si>
    <t xml:space="preserve"> Ticari Borç Devir Hızı</t>
  </si>
  <si>
    <t xml:space="preserve"> Ticari Borç Geri Ödeme Sürei (Gün)</t>
  </si>
  <si>
    <t xml:space="preserve"> Faaliyet Döngüsü (Gün)</t>
  </si>
  <si>
    <t xml:space="preserve"> Aktif Devir Hızı</t>
  </si>
  <si>
    <t xml:space="preserve"> VAFÖK Kar Marjı (EBITDA Margin)</t>
  </si>
  <si>
    <t xml:space="preserve"> Esas Faaliyet Kar Marjı (EBIT Margin)</t>
  </si>
  <si>
    <t xml:space="preserve"> Özsermaye Karlılığı (ROE)</t>
  </si>
  <si>
    <t xml:space="preserve"> Yatırılmış Sermaye Karlılığı (ROIC)</t>
  </si>
  <si>
    <t xml:space="preserve"> Aktif Karlılığı (ROA)</t>
  </si>
  <si>
    <t xml:space="preserve"> Brüt Kar Marjı (GPM)</t>
  </si>
  <si>
    <t xml:space="preserve"> Net Kar Marjı (NIM)</t>
  </si>
  <si>
    <t xml:space="preserve"> Net Satış Büyümesi</t>
  </si>
  <si>
    <t xml:space="preserve"> Esas Faaliyet Karı Büyümesi</t>
  </si>
  <si>
    <t xml:space="preserve"> VAFÖK (EBITDA) Büyümesi</t>
  </si>
  <si>
    <t xml:space="preserve"> Net Kar Büyümesi</t>
  </si>
  <si>
    <t xml:space="preserve"> Özsermaye Büyümesi</t>
  </si>
  <si>
    <t xml:space="preserve"> Aktif Büyümesi</t>
  </si>
  <si>
    <t>FR</t>
  </si>
  <si>
    <t>Tarihsel Finansal Oranları Hesapla</t>
  </si>
  <si>
    <t>Other current assets (% of Sales)</t>
  </si>
  <si>
    <t>Other Current Liabilities(% of Sales)</t>
  </si>
  <si>
    <t>Diğer Oranlar</t>
  </si>
  <si>
    <t>Other LT assets (% of Sales)</t>
  </si>
  <si>
    <t>Deferred tax liabilities (% of Sales)</t>
  </si>
  <si>
    <t>Other long term liabilities (% of Sales)</t>
  </si>
  <si>
    <t>Dividand/Net Income</t>
  </si>
  <si>
    <t>Temettü_TL</t>
  </si>
  <si>
    <t>Temettü_USD</t>
  </si>
  <si>
    <t>Current Assets</t>
  </si>
  <si>
    <t>Net Working Capital</t>
  </si>
  <si>
    <t>Working Capital Items</t>
  </si>
  <si>
    <t>Yöntemler</t>
  </si>
  <si>
    <t>Depreciation, Amortization</t>
  </si>
  <si>
    <t>DA/TFA</t>
  </si>
  <si>
    <t>DA/TS</t>
  </si>
  <si>
    <t>Min DA/TFA</t>
  </si>
  <si>
    <t>Max DA/TFA</t>
  </si>
  <si>
    <t>Ortalama DA/TFA</t>
  </si>
  <si>
    <t>Medyan DA/TFA</t>
  </si>
  <si>
    <t>Weighted DA/TFA</t>
  </si>
  <si>
    <t>DA</t>
  </si>
  <si>
    <t>Min DA/TS</t>
  </si>
  <si>
    <t>Max DA/TS</t>
  </si>
  <si>
    <t>Ortalama DA/TS</t>
  </si>
  <si>
    <t>Medyan DA/TS</t>
  </si>
  <si>
    <t>Weighted DA/TS</t>
  </si>
  <si>
    <t>İşletme Sermayesi Hesapla</t>
  </si>
  <si>
    <t>WCR</t>
  </si>
  <si>
    <t>Yatırımların Tahmini</t>
  </si>
  <si>
    <t>Dep,Amort&amp;Capex</t>
  </si>
  <si>
    <t>Amortismanların Tahmini</t>
  </si>
  <si>
    <t>Adjusted Beta</t>
  </si>
  <si>
    <t>EBIT (Operating Income)</t>
  </si>
  <si>
    <t>Taxes on EBIT</t>
  </si>
  <si>
    <t>Tax Rate</t>
  </si>
  <si>
    <t>Change in Deferred Income Taxes</t>
  </si>
  <si>
    <t>Revaluation of Deferred Income Taxes</t>
  </si>
  <si>
    <t>NOPLAT</t>
  </si>
  <si>
    <t>Add back depreciation</t>
  </si>
  <si>
    <t>Gross Cash Flow</t>
  </si>
  <si>
    <t>Change in Working Capital</t>
  </si>
  <si>
    <t>Capital Expenditure</t>
  </si>
  <si>
    <t>Gross Investment</t>
  </si>
  <si>
    <t>Free Cash Flow</t>
  </si>
  <si>
    <t>Effective tax rate on EBIT</t>
  </si>
  <si>
    <t>Tahmini Gelir Tablosunu Oluştur</t>
  </si>
  <si>
    <t>CSA</t>
  </si>
  <si>
    <t>son 5 yıllık ortalamaya göre hesaplandı fakat 3-4-2-1 yıllık ortalama opsiyonları verilebilmelidir.</t>
  </si>
  <si>
    <t>Timing diff's/net PPE</t>
  </si>
  <si>
    <t>Revenue Growth</t>
  </si>
  <si>
    <t>PPE Economic Life (n)</t>
  </si>
  <si>
    <t>F_sub_g (see Sect 6)</t>
  </si>
  <si>
    <t>F_sub_c (see Sect 6)</t>
  </si>
  <si>
    <t>H (see Section 6)</t>
  </si>
  <si>
    <t>PPE Tax Life</t>
  </si>
  <si>
    <t>J (see Section 8)</t>
  </si>
  <si>
    <t>NOPLAT, FCF</t>
  </si>
  <si>
    <t>Tarihsel ve Tahmini Nakit Akımı</t>
  </si>
  <si>
    <t>PPE</t>
  </si>
  <si>
    <t>FREE CASH FLOW</t>
  </si>
  <si>
    <t>HISTORICAL</t>
  </si>
  <si>
    <t>FORECASTED</t>
  </si>
  <si>
    <t xml:space="preserve">Sentetik Derecelendirme </t>
  </si>
  <si>
    <t>PD</t>
  </si>
  <si>
    <t xml:space="preserve">Rating </t>
  </si>
  <si>
    <t>Spread</t>
  </si>
  <si>
    <t>D</t>
  </si>
  <si>
    <t>C</t>
  </si>
  <si>
    <t>CC</t>
  </si>
  <si>
    <t>CCC</t>
  </si>
  <si>
    <t>B-</t>
  </si>
  <si>
    <t>B</t>
  </si>
  <si>
    <t>B+</t>
  </si>
  <si>
    <t>BB</t>
  </si>
  <si>
    <t>BB+</t>
  </si>
  <si>
    <t>BBB</t>
  </si>
  <si>
    <t>A-</t>
  </si>
  <si>
    <t>A</t>
  </si>
  <si>
    <t>A+</t>
  </si>
  <si>
    <t>AA</t>
  </si>
  <si>
    <t>AAA</t>
  </si>
  <si>
    <t>Risk Free Rate-USD</t>
  </si>
  <si>
    <t>Finansal Borç</t>
  </si>
  <si>
    <t>Özkaynak</t>
  </si>
  <si>
    <t>Capital Structure</t>
  </si>
  <si>
    <t>WACC</t>
  </si>
  <si>
    <t>Financial Debt</t>
  </si>
  <si>
    <t>Equity</t>
  </si>
  <si>
    <t>Debt to Equity</t>
  </si>
  <si>
    <t>Cost of Equity</t>
  </si>
  <si>
    <t>Discount Factor</t>
  </si>
  <si>
    <t>Risk Free Rate (Rf)</t>
  </si>
  <si>
    <t>Risk Premium (Rp)</t>
  </si>
  <si>
    <t>Risk Premium-USD</t>
  </si>
  <si>
    <t>Risk Premium-TL</t>
  </si>
  <si>
    <t>Cost of Debt</t>
  </si>
  <si>
    <t>WEIGHTED AVERAGE COST of CAPITAL (WACC, AOSM)</t>
  </si>
  <si>
    <t>- Tax</t>
  </si>
  <si>
    <t>- Change in WC</t>
  </si>
  <si>
    <t>Free Cash Flow (FCF)</t>
  </si>
  <si>
    <t>DCF Results</t>
  </si>
  <si>
    <t>+Present value of terminal value</t>
  </si>
  <si>
    <t>Enterprise Value</t>
  </si>
  <si>
    <t>Estimated Equity Fair Value</t>
  </si>
  <si>
    <t>DISCOUNTED CASH FLOW</t>
  </si>
  <si>
    <t>(Free Cash Flow to Firm)</t>
  </si>
  <si>
    <t>Market Value</t>
  </si>
  <si>
    <t>Upside Potantial</t>
  </si>
  <si>
    <t>PE</t>
  </si>
  <si>
    <t>PBV</t>
  </si>
  <si>
    <t>EV/EBITDA</t>
  </si>
  <si>
    <t>EV/S</t>
  </si>
  <si>
    <t>■</t>
  </si>
  <si>
    <t>Valuation Exchg.</t>
  </si>
  <si>
    <t>5-Y</t>
  </si>
  <si>
    <t>10-Y</t>
  </si>
  <si>
    <t>4-Y</t>
  </si>
  <si>
    <t>3-Y</t>
  </si>
  <si>
    <t>BRSAN</t>
  </si>
  <si>
    <t>BURCE</t>
  </si>
  <si>
    <t>CELHA</t>
  </si>
  <si>
    <t>ERBOS</t>
  </si>
  <si>
    <t>IZMDC</t>
  </si>
  <si>
    <t>SARKY</t>
  </si>
  <si>
    <t>MAKTK</t>
  </si>
  <si>
    <t>GOLDS</t>
  </si>
  <si>
    <t>MV</t>
  </si>
  <si>
    <t>Şirket Verileri</t>
  </si>
  <si>
    <t>Net Satış</t>
  </si>
  <si>
    <t>Cari Özkaynaklar</t>
  </si>
  <si>
    <t>Vergi, Amortisman ve Faiz Önc.Kar</t>
  </si>
  <si>
    <t>Net Kar</t>
  </si>
  <si>
    <t>Nakit Akımı</t>
  </si>
  <si>
    <t>Net Borç Pozisyonu</t>
  </si>
  <si>
    <t>Current</t>
  </si>
  <si>
    <t>Beta</t>
  </si>
  <si>
    <t>Borç Maliyeti</t>
  </si>
  <si>
    <t>Özkaynak Maliyeti ve WACC</t>
  </si>
  <si>
    <t>Değerleme DCF</t>
  </si>
  <si>
    <t>DCF</t>
  </si>
  <si>
    <t>Göreceli Değerleme</t>
  </si>
  <si>
    <t>RV</t>
  </si>
  <si>
    <t>Değerleme Sonucu</t>
  </si>
  <si>
    <t>CV</t>
  </si>
  <si>
    <t>Piyasa Değeri</t>
  </si>
  <si>
    <t>Ağırlık</t>
  </si>
  <si>
    <t>Değerleme Ekranı</t>
  </si>
  <si>
    <t>Other Assumptions</t>
  </si>
  <si>
    <t>GSYH</t>
  </si>
  <si>
    <t>Diğer Varsayımlar</t>
  </si>
  <si>
    <t>Risksiz Faiz Oranı</t>
  </si>
  <si>
    <t>Risk Primi</t>
  </si>
  <si>
    <t>TL</t>
  </si>
  <si>
    <t>Sanayi</t>
  </si>
  <si>
    <t>Macro Data</t>
  </si>
  <si>
    <t>2008/12</t>
  </si>
  <si>
    <t>2009/12</t>
  </si>
  <si>
    <t>2010/12</t>
  </si>
  <si>
    <t>2011/12</t>
  </si>
  <si>
    <t>2012/12</t>
  </si>
  <si>
    <t>2013/12</t>
  </si>
  <si>
    <t>2014/12</t>
  </si>
  <si>
    <t>2015/12</t>
  </si>
  <si>
    <t>Marketable securities</t>
  </si>
  <si>
    <t>Other short‐term receivables</t>
  </si>
  <si>
    <t>Long term trade receivables</t>
  </si>
  <si>
    <t>Other long‐term receivables</t>
  </si>
  <si>
    <t>Other short‐term payables</t>
  </si>
  <si>
    <t>Long term loans</t>
  </si>
  <si>
    <t>Other long‐term payables</t>
  </si>
  <si>
    <t>Shareholders’ capital</t>
  </si>
  <si>
    <t>Non‐controlling interests</t>
  </si>
  <si>
    <t>BRÜT SATIŞLAR</t>
  </si>
  <si>
    <t>Diğer Gelirler</t>
  </si>
  <si>
    <t>SATIŞ İNDİRİMLERİ(-)</t>
  </si>
  <si>
    <t>Satıştan İadeler(-)</t>
  </si>
  <si>
    <t>Satış İskontoları(-)</t>
  </si>
  <si>
    <t>Diğer İndirimler(-)</t>
  </si>
  <si>
    <t>SATIŞLARIN MALİYETİ(-)</t>
  </si>
  <si>
    <t>Satılan Mamuller Maliyeti(-)</t>
  </si>
  <si>
    <t>Satılan Ticari  Mallar Maliyeti(-)</t>
  </si>
  <si>
    <t>Satılan Hizmet Maliyeti(-)</t>
  </si>
  <si>
    <t>Diğer Satışların Maliyeti(-)</t>
  </si>
  <si>
    <t>BRÜT SATIŞ KARI VEYA ZARARI</t>
  </si>
  <si>
    <t>FAALİYET GİDERLERİ(-)</t>
  </si>
  <si>
    <t>Araştırma ve Geliştirme Giderleri(-)</t>
  </si>
  <si>
    <t>Pazarlama. Satış ve Dağıtım Giderleri(-)</t>
  </si>
  <si>
    <t>Genel Yönetim Giderleri(-)</t>
  </si>
  <si>
    <t>FAALİYET KARI VEYA ZARARI</t>
  </si>
  <si>
    <t>DİĞER FAAL. OLAĞAN GELİR VE KARLAR</t>
  </si>
  <si>
    <t>Bağlı Ortaklıklardan Temettü Gelirleri</t>
  </si>
  <si>
    <t>Faiz Gelirleri</t>
  </si>
  <si>
    <t>Komisyon Gelirleri</t>
  </si>
  <si>
    <t>Menkul Kıymet Satış Karları</t>
  </si>
  <si>
    <t>Kambiyo Karları</t>
  </si>
  <si>
    <t>Reeskont Faiz Gelirleri</t>
  </si>
  <si>
    <t>Faaliyetle İlgili Diğer Gelir ve Karlar</t>
  </si>
  <si>
    <t>DİĞER FAAL. OLAĞAN GİD. VE ZARAR(-)</t>
  </si>
  <si>
    <t>Komisyon Giderleri (-)</t>
  </si>
  <si>
    <t>Karşılık Giderleri (-)</t>
  </si>
  <si>
    <t>Menkul Kıymet Satış Zararları (-)</t>
  </si>
  <si>
    <t>Kambiyo Zararları (-)</t>
  </si>
  <si>
    <t>Reeskont Faiz Giderleri (-)</t>
  </si>
  <si>
    <t>Diğer Gider ve Zararlar (-)</t>
  </si>
  <si>
    <t>FİNANSMAN GİDERLERİ(-)</t>
  </si>
  <si>
    <t>OLAĞAN KAR VEYA ZARAR</t>
  </si>
  <si>
    <t>OLAĞANDIŞI GELİR VE KARLAR</t>
  </si>
  <si>
    <t>Diğer Olağandışı Gelir ve Karlar</t>
  </si>
  <si>
    <t>OLAĞANDIŞI GİDER VE ZARARLAR(-)</t>
  </si>
  <si>
    <t>Çalışmayan Kısım Gider ve Zararları (-)</t>
  </si>
  <si>
    <t>Diğer Olağandışı Gider ve Zararları (-)</t>
  </si>
  <si>
    <t>690.DÖNEM KARI VEYA ZARARI</t>
  </si>
  <si>
    <t>Kurumlar Vergisi (-)</t>
  </si>
  <si>
    <t>692.DÖNEM NET KARI VEYA ZARARI</t>
  </si>
  <si>
    <t>TARİHSEL GELİR TABLOSU</t>
  </si>
  <si>
    <t>AKTİF (VARLIKLAR)</t>
  </si>
  <si>
    <t>DÖNEN VARLIKLAR</t>
  </si>
  <si>
    <t>Kasa</t>
  </si>
  <si>
    <t>Alınan çekler</t>
  </si>
  <si>
    <t>Bankalar</t>
  </si>
  <si>
    <t>Verilen Çekler ve Ödeme Emirleri (-)</t>
  </si>
  <si>
    <t>Diğer Hazır Değerler</t>
  </si>
  <si>
    <t>Hisse senetleri</t>
  </si>
  <si>
    <t>Özel Kesim Tahvil .Senet ve Bonoları</t>
  </si>
  <si>
    <t>Kamu Kesimi Tahvil. Senet ve Bonoları</t>
  </si>
  <si>
    <t>Diğer Menkul Kıymetler</t>
  </si>
  <si>
    <t>Menkul Kıymetler Değer Düşüklüğü Karşılığı (-)</t>
  </si>
  <si>
    <t>Ticari Alacaklar</t>
  </si>
  <si>
    <t>Alıcılar</t>
  </si>
  <si>
    <t>Alacak Senetleri</t>
  </si>
  <si>
    <t>Alacak Senetleri Reeskontu(-)</t>
  </si>
  <si>
    <t>Verilen Depozito ve Teminatlar</t>
  </si>
  <si>
    <t>Diğer Ticari Alacaklar</t>
  </si>
  <si>
    <t>Şüpheli Ticari Alacaklar</t>
  </si>
  <si>
    <t>Şüpheli Ticari Alacaklar Karşılığı (-)</t>
  </si>
  <si>
    <t>Diğer Alacaklar</t>
  </si>
  <si>
    <t>Ortaklardan Alacaklar</t>
  </si>
  <si>
    <t>İştiraklerden Alacaklar</t>
  </si>
  <si>
    <t>Bağlı Ortaklıklardan Alacaklar</t>
  </si>
  <si>
    <t>Personelden Alacaklar</t>
  </si>
  <si>
    <t>Diğer Çeşitli Alacaklar</t>
  </si>
  <si>
    <t>Diğer Alacak Senetleri Reeskontu (-)</t>
  </si>
  <si>
    <t>Şüpheli Diğer Alacaklar</t>
  </si>
  <si>
    <t>Şüpheli Diğer Alacaklar Karşılığı (-)</t>
  </si>
  <si>
    <t>İlk Madde ve Malzeme</t>
  </si>
  <si>
    <t>Yarı Mamüller-Üretim</t>
  </si>
  <si>
    <t>Mamüller</t>
  </si>
  <si>
    <t>Ticari Mallar</t>
  </si>
  <si>
    <t>Koltukaltı Stokları</t>
  </si>
  <si>
    <t>Diğer Stoklar</t>
  </si>
  <si>
    <t>Stok Değer Düşüklüğü Karşılığı (-)</t>
  </si>
  <si>
    <t>Verilen Sipariş Avansları</t>
  </si>
  <si>
    <t>Yıllara Yaygın İnş.ve Onarım Maaliyetleri</t>
  </si>
  <si>
    <t>Taşeronlara Verilen Avanslar</t>
  </si>
  <si>
    <t>Gelecek Aylara Ait Gid.ve Gelir Tah.</t>
  </si>
  <si>
    <t>Gelecek Aylara Ait  Giderler</t>
  </si>
  <si>
    <t>Gelir Tahakkukları</t>
  </si>
  <si>
    <t>Devreden KDV.</t>
  </si>
  <si>
    <t>İndirilecek KDV</t>
  </si>
  <si>
    <t>Diğer KDV</t>
  </si>
  <si>
    <t>Peşin Ödenen Vergiler ve Fonlar</t>
  </si>
  <si>
    <t>İş Avansları</t>
  </si>
  <si>
    <t>Personel Avansları</t>
  </si>
  <si>
    <t>Sayım Tesellüm Noksanları</t>
  </si>
  <si>
    <t>Diğer Çeşitli Dönen Varlıklar</t>
  </si>
  <si>
    <t>Diğer Dönen Varlıklar Karşılığı (-)</t>
  </si>
  <si>
    <t>DÖNEN VARLIKLAR TOPLAMI</t>
  </si>
  <si>
    <t>DURAN VARLIKLAR</t>
  </si>
  <si>
    <t>Alacak Senetleri Reeskontu (-)</t>
  </si>
  <si>
    <t>Şüpheli Alacaklar Karşılığı (-)</t>
  </si>
  <si>
    <t>Bağlı Menkul Kıymetler</t>
  </si>
  <si>
    <t>Bağlı Menkul Kıymetler Değer Düşüklüğü Krş.(-)</t>
  </si>
  <si>
    <t>İştirakler</t>
  </si>
  <si>
    <t>İştiraklere Sermaye Taahhütleri (-)</t>
  </si>
  <si>
    <t>İştiraklere Sermaye Payları Değer Düşüklüğü Krş.(-)</t>
  </si>
  <si>
    <t>Bağlı Ortaklıklar</t>
  </si>
  <si>
    <t>Bağlı Ortaklıklara Sermaye Taahh. (-)</t>
  </si>
  <si>
    <t>Bağlı Ortaklıklar Sermaye Payları Değer Düş.Karş.(-)</t>
  </si>
  <si>
    <t>Diğer Mali Duran Varlıklar</t>
  </si>
  <si>
    <t>Diğer Mali Duran Varlıklar Karşılığı (-)</t>
  </si>
  <si>
    <t>Arazi ve Arsalar</t>
  </si>
  <si>
    <t>Yeraltı ve Yerüstü Düzenleri</t>
  </si>
  <si>
    <t>Binalar</t>
  </si>
  <si>
    <t>Tesis. Makina ve Cihazlar</t>
  </si>
  <si>
    <t>Taşıtlar</t>
  </si>
  <si>
    <t>Demirbaşlar</t>
  </si>
  <si>
    <t>Diğer Maddi Duran Varlıklar</t>
  </si>
  <si>
    <t>Birikmiş Amortismanlar (-)</t>
  </si>
  <si>
    <t>Yapılmakta Olan Yatırımlar</t>
  </si>
  <si>
    <t>Verilen Avanslar</t>
  </si>
  <si>
    <t>Haklar</t>
  </si>
  <si>
    <t>Finansal Kiralama Hakları</t>
  </si>
  <si>
    <t>Kuruluş ve Örgütlenme Giderleri</t>
  </si>
  <si>
    <t>Özel Maliyetler</t>
  </si>
  <si>
    <t>Diğer Maddi Olmayan Duran Varlıklar</t>
  </si>
  <si>
    <t>Özel Tükenmeye Tabi Varlıklar</t>
  </si>
  <si>
    <t>Arama Giderleri</t>
  </si>
  <si>
    <t>Hazırlık ve Geliştirme Giderleri</t>
  </si>
  <si>
    <t>Diğer Özel Tükenmeye Tabi Varlıklar</t>
  </si>
  <si>
    <t>Birikmiş Tükenme Payları (-)</t>
  </si>
  <si>
    <t>Gelecek Yıllara Ait Gid.ve Gelir Tahakukları</t>
  </si>
  <si>
    <t>Gelecek Yıllara Ait Giderler</t>
  </si>
  <si>
    <t>Gelir Tahhakkukları</t>
  </si>
  <si>
    <t>Gelecek Yıllarda İndirilecek KDV</t>
  </si>
  <si>
    <t>Gelecek Yıllar İhtiyacı Stoklar</t>
  </si>
  <si>
    <t>Elden Çıkarılacak Stoklar ve Maddi Duran Varlıklar</t>
  </si>
  <si>
    <t>Diğer Çeşitli Duran Varlıklar</t>
  </si>
  <si>
    <t>DURAN VARLIKLAR TOPLAMI</t>
  </si>
  <si>
    <t>AKTİF (VARLIKLAR) TOPLAMI</t>
  </si>
  <si>
    <t>PASİF (KAYNAKLAR)</t>
  </si>
  <si>
    <t>KISA VADELİ YABANCI KAYNAK</t>
  </si>
  <si>
    <t>Mali Borçlar</t>
  </si>
  <si>
    <t>Banka Kredileri</t>
  </si>
  <si>
    <t>Finansal Kiralama İşlerinden Borçlar</t>
  </si>
  <si>
    <t>Ertelenmiş Finansal Kiralama Borçlanma Maliyetleri (-)</t>
  </si>
  <si>
    <t>Uzun Vad.Kredilerin Anapara Tak.ve Faizl.</t>
  </si>
  <si>
    <t>Tahvil Anapara ve Borç Tak.ve Faizleri</t>
  </si>
  <si>
    <t>Çıkarılmış Bonolar ve Senetler</t>
  </si>
  <si>
    <t>Çıkarılmış Diğer Menkul Kıymetler</t>
  </si>
  <si>
    <t>Menkul Kıymetler İhraç Farkı(-)</t>
  </si>
  <si>
    <t>Diğer Mali Borçlar</t>
  </si>
  <si>
    <t>Satıcılar</t>
  </si>
  <si>
    <t>Borç Senetleri</t>
  </si>
  <si>
    <t>Borç Senetleri Reeskontu (-)</t>
  </si>
  <si>
    <t>Alınan Depozito ve Teminatlar</t>
  </si>
  <si>
    <t>Diğer Ticari Borçlar</t>
  </si>
  <si>
    <t>Ortaklara Borçlar</t>
  </si>
  <si>
    <t>İstiraklere Borçlar</t>
  </si>
  <si>
    <t>Bağlı Ortaklıklara Borçlar</t>
  </si>
  <si>
    <t>Personele Borçlar</t>
  </si>
  <si>
    <t>Diğer Çeşitli Borçlar</t>
  </si>
  <si>
    <t>Diğer Borç Senetleri Reeskontu (-)</t>
  </si>
  <si>
    <t>Alınan Sipariş Avansları</t>
  </si>
  <si>
    <t>Alınan Diğer Avanslar</t>
  </si>
  <si>
    <t>Yıllara Yaygın İnş. ve Onarım Hakedişleri</t>
  </si>
  <si>
    <t>35.Yıllara Yaygın İnş. ve Onarım Hakedişleri</t>
  </si>
  <si>
    <t>Ödenecek Vergi ve Diğer Yükümlülükler</t>
  </si>
  <si>
    <t>Ödenecek Vergi ve Fonlar</t>
  </si>
  <si>
    <t>Ödenecek Sosyal Güvenlik Kesintileri</t>
  </si>
  <si>
    <t>Vadesi Geçmiş,Ertelenmiş veya Taksitlendirilmiş</t>
  </si>
  <si>
    <t>Ödenecek Diğer Yükümlülükler</t>
  </si>
  <si>
    <t xml:space="preserve">Dönem Karı Vergi ve Diğer Yasal </t>
  </si>
  <si>
    <t>Yükümlülükler Karşılıkları</t>
  </si>
  <si>
    <t>Dönem Karının Peşin Ödenen Vergi ve Diğer</t>
  </si>
  <si>
    <t>Yükümlülükleri (-)</t>
  </si>
  <si>
    <t>Kıdem Tazminatı Karşılığı</t>
  </si>
  <si>
    <t>Maliyet Giderleri Karşılığı</t>
  </si>
  <si>
    <t>Diğer Borç ve Gider Karşılıkları</t>
  </si>
  <si>
    <t>Gelecek Aylara Ait Gelirler ve Gid. Tahakkuk</t>
  </si>
  <si>
    <t>Gelecek Aylara Ait Gelirler</t>
  </si>
  <si>
    <t>Gider Tahakkukları</t>
  </si>
  <si>
    <t>Diğer Kısa Vadeli Yabancı Kaynaklar</t>
  </si>
  <si>
    <t>Hesaplanan KDV</t>
  </si>
  <si>
    <t>Merkez ve Şubeler Cari Hesabı</t>
  </si>
  <si>
    <t>Sayım ve Tesellüm Fazlaları</t>
  </si>
  <si>
    <t>Diğer Çeşitli Yabancı Kaynaklar</t>
  </si>
  <si>
    <t>KISA VADELİ YABANCI KAYNAKLAR TOP.</t>
  </si>
  <si>
    <t>UZUN VADELİ YABANCI KAYNAKLAR</t>
  </si>
  <si>
    <t>Banka Borçları</t>
  </si>
  <si>
    <t>Finansal Kiralama İşlemleri</t>
  </si>
  <si>
    <t>Ertelenmiş Finansal Kiralama (-)</t>
  </si>
  <si>
    <t>Menkul Kıymetler İhraç Farkı (-)</t>
  </si>
  <si>
    <t>İştiraklere Borçlar</t>
  </si>
  <si>
    <t>Kamuya Olan Ertelenmiş Veya</t>
  </si>
  <si>
    <t>Taksitlendirilmiş Borçlar</t>
  </si>
  <si>
    <t>Gelecek Yıllara Ait Gel.ve Gid.Karşılıkları</t>
  </si>
  <si>
    <t>Gelecek Yıllara Ait Gelirler</t>
  </si>
  <si>
    <t>Diğer Uzun Vadeli Yabancı Kaynaklar</t>
  </si>
  <si>
    <t>Gelecek Yıllara Ertelenen veya Terkin</t>
  </si>
  <si>
    <t>Edilecek KDV</t>
  </si>
  <si>
    <t>Tesise Katılma Payları</t>
  </si>
  <si>
    <t>Diğer Çeşitli Uzun Vadeli Yabancı Kaynaklar</t>
  </si>
  <si>
    <t>UZUN VADELİ YABANCI KAYNAKLAR TOP.</t>
  </si>
  <si>
    <t>ÖZKAYNAKLAR</t>
  </si>
  <si>
    <t>Ödenmiş Sermaye</t>
  </si>
  <si>
    <t>Ödenmemiş Sermaye (-)</t>
  </si>
  <si>
    <t>Sermaye Olumlu farkları</t>
  </si>
  <si>
    <t>Hisse Senetleri İhraç Primleri</t>
  </si>
  <si>
    <t>Hisse Senedi İptal Karları</t>
  </si>
  <si>
    <t>M.D.V Yeniden Değerleme Artışları</t>
  </si>
  <si>
    <t>İştirakler Yeniden Değerleme Artışları</t>
  </si>
  <si>
    <t>Diğer Sermaye Yedekleri</t>
  </si>
  <si>
    <t>Yasal Yedekler</t>
  </si>
  <si>
    <t>Statü Yedekleri</t>
  </si>
  <si>
    <t>Olağanüstü Yedekler</t>
  </si>
  <si>
    <t>Diğer Kar Yedekleri</t>
  </si>
  <si>
    <t>Özel Fonlar</t>
  </si>
  <si>
    <t>Geçmiş Yıllar Karları</t>
  </si>
  <si>
    <t>Geçmiş Yıllar Zararları (-)</t>
  </si>
  <si>
    <t>Geçmiş Yıllar Zararları</t>
  </si>
  <si>
    <t>Dönem Net Karı (Zararı)</t>
  </si>
  <si>
    <t>Dönem Net Karı</t>
  </si>
  <si>
    <t>Dönem Net Zararı (-)</t>
  </si>
  <si>
    <t>ÖZKAYNAKLAR TOPLAMI</t>
  </si>
  <si>
    <t>PASİF (KAYNAKLAR) TOPLAMI</t>
  </si>
  <si>
    <t>TARİHSEL BİLANÇO</t>
  </si>
  <si>
    <t>Şerefiye</t>
  </si>
  <si>
    <t>Reported taxes</t>
  </si>
  <si>
    <t>Tax shield on interest paid (excluding lease interest)</t>
  </si>
  <si>
    <t>Tax shield on lease interest</t>
  </si>
  <si>
    <t>Taxes on interest received</t>
  </si>
  <si>
    <t>Taxes on other income</t>
  </si>
  <si>
    <t xml:space="preserve">     Taxes on EBITA</t>
  </si>
  <si>
    <t>Operating cash taxes</t>
  </si>
  <si>
    <t>Cash Tax Ratio</t>
  </si>
  <si>
    <t>Operating Taxes on EBITA</t>
  </si>
  <si>
    <t>Decrease/(increase) in deferred taxes</t>
  </si>
  <si>
    <t>Ertelenmiş Vergi Varlıkları</t>
  </si>
  <si>
    <t>UFRS</t>
  </si>
  <si>
    <t>5.</t>
  </si>
  <si>
    <t>Veri Girişi</t>
  </si>
  <si>
    <t>Adjusted EBITDA</t>
  </si>
  <si>
    <t>Reported EBITDA</t>
  </si>
  <si>
    <t>AR-GE Giderleri</t>
  </si>
  <si>
    <t xml:space="preserve">   Sabit</t>
  </si>
  <si>
    <t xml:space="preserve">   Değişken</t>
  </si>
  <si>
    <t>Sabit Giderler Artış Oranı</t>
  </si>
  <si>
    <t>Eflasyon</t>
  </si>
  <si>
    <t>Değişken Giderler Artış Oranı</t>
  </si>
  <si>
    <t>Satış Büyüme Oranı</t>
  </si>
  <si>
    <t>TOPLAM</t>
  </si>
  <si>
    <t>Tahmini Faaliyet Gideri</t>
  </si>
  <si>
    <t>6.</t>
  </si>
  <si>
    <t>7.</t>
  </si>
  <si>
    <t>8.</t>
  </si>
  <si>
    <t>9.</t>
  </si>
  <si>
    <t>10.</t>
  </si>
  <si>
    <t>11.</t>
  </si>
  <si>
    <t>12.</t>
  </si>
  <si>
    <t>13.</t>
  </si>
  <si>
    <t>14.</t>
  </si>
  <si>
    <t>15.</t>
  </si>
  <si>
    <t>16.</t>
  </si>
  <si>
    <t>17.</t>
  </si>
  <si>
    <t>18.</t>
  </si>
  <si>
    <t>19.</t>
  </si>
  <si>
    <t>20.</t>
  </si>
  <si>
    <t>21.</t>
  </si>
  <si>
    <t>Taxes on EBIT %</t>
  </si>
  <si>
    <t>Vergi Oranı</t>
  </si>
  <si>
    <t>Taxe Rate</t>
  </si>
  <si>
    <t>EBIT (1-t)</t>
  </si>
  <si>
    <t>+Depreciation</t>
  </si>
  <si>
    <t>+Present value of FCFs (2016-2025)</t>
  </si>
  <si>
    <t>(TL in millions)</t>
  </si>
  <si>
    <t>Deffered Tax Liabilities</t>
  </si>
  <si>
    <t>Kısa Vadeli Karşılıklar</t>
  </si>
  <si>
    <t>Uzun Vadeli Karşılıklar</t>
  </si>
  <si>
    <t>Toplam Özkaynaklar</t>
  </si>
  <si>
    <t>Kontrol Gücü Olmayan Paylar</t>
  </si>
  <si>
    <t>Toplam Yükümlülükler+Özkaynaklar</t>
  </si>
  <si>
    <t>CA</t>
  </si>
  <si>
    <t>CL</t>
  </si>
  <si>
    <t>Özkaynaklar (Ana Ortaklık)</t>
  </si>
  <si>
    <t>Long Term Assets</t>
  </si>
  <si>
    <t>Short Term Liabilities</t>
  </si>
  <si>
    <t>Long Term Liabilities</t>
  </si>
  <si>
    <t>- Capital Expenditure</t>
  </si>
  <si>
    <t>+Non Operating Assets</t>
  </si>
  <si>
    <t>Long Term Deffered Tax Assets</t>
  </si>
  <si>
    <t>Katsayı</t>
  </si>
  <si>
    <t xml:space="preserve">   -Sabit</t>
  </si>
  <si>
    <t xml:space="preserve">   -İşletme Sermayesi/Toplam Varlıklar</t>
  </si>
  <si>
    <t xml:space="preserve">   -Dağıtılmamış Karlar/Toplam Varlıklar</t>
  </si>
  <si>
    <t xml:space="preserve">   -FVÖK/Toplam Varlıklar</t>
  </si>
  <si>
    <t xml:space="preserve">   -Özkaynak/Toplam Yükümlülükler</t>
  </si>
  <si>
    <t xml:space="preserve">    - Altman EM Z Score</t>
  </si>
  <si>
    <t>Rating Notu</t>
  </si>
  <si>
    <t xml:space="preserve">  Paid-In Capital</t>
  </si>
  <si>
    <t xml:space="preserve">  Capital Rezerves</t>
  </si>
  <si>
    <t xml:space="preserve">  Net Profit (Loss) for The Period</t>
  </si>
  <si>
    <t xml:space="preserve">  Ödenmiş Sermaye</t>
  </si>
  <si>
    <t xml:space="preserve">  Sermaye Yedekleri</t>
  </si>
  <si>
    <t xml:space="preserve">  Net Dönem Karı/Zararı                                       </t>
  </si>
  <si>
    <t>Faktörler</t>
  </si>
  <si>
    <t>CORPORATE DISTRESS PREDICTION MODELS IN A TURBULENT ECONOMIC AND BASEL II ENVIRONMENT</t>
  </si>
  <si>
    <t>Edward I. Altman*, 2002</t>
  </si>
  <si>
    <t>AraDönem</t>
  </si>
  <si>
    <t>Dağıtılmamış Karlar</t>
  </si>
  <si>
    <r>
      <t>Büyüme Oranları_</t>
    </r>
    <r>
      <rPr>
        <b/>
        <sz val="11"/>
        <color rgb="FFFF0000"/>
        <rFont val="Centaur"/>
        <family val="1"/>
      </rPr>
      <t>Nominal</t>
    </r>
  </si>
  <si>
    <r>
      <t>Büyüme Oranları_</t>
    </r>
    <r>
      <rPr>
        <b/>
        <sz val="11"/>
        <color rgb="FFFF0000"/>
        <rFont val="Centaur"/>
        <family val="1"/>
      </rPr>
      <t>Reel</t>
    </r>
  </si>
  <si>
    <r>
      <t>BÜYÜME ORANLARI_</t>
    </r>
    <r>
      <rPr>
        <b/>
        <i/>
        <sz val="11"/>
        <color theme="0"/>
        <rFont val="Centaur"/>
        <family val="1"/>
      </rPr>
      <t>BLŞ</t>
    </r>
  </si>
  <si>
    <r>
      <t xml:space="preserve">İade ve İndirimler/Satışlar </t>
    </r>
    <r>
      <rPr>
        <b/>
        <i/>
        <sz val="10"/>
        <color theme="7" tint="-0.249977111117893"/>
        <rFont val="Centaur"/>
        <family val="1"/>
      </rPr>
      <t>(Sales Deductions)</t>
    </r>
  </si>
  <si>
    <t xml:space="preserve">  Accummulated Profit/Losses(-)</t>
  </si>
  <si>
    <t xml:space="preserve">  Geçmiş Yıl Kar/Zararları (-)                             </t>
  </si>
  <si>
    <t xml:space="preserve">  Paid in Capital</t>
  </si>
  <si>
    <t>Tahmini Spread</t>
  </si>
  <si>
    <t>Firma Ölçeği</t>
  </si>
  <si>
    <t>1: Küçük Firma</t>
  </si>
  <si>
    <t>2: Büyük  Firma</t>
  </si>
  <si>
    <t xml:space="preserve"> - Net Debt</t>
  </si>
  <si>
    <t>Bir Defalık Giderler (+)</t>
  </si>
  <si>
    <t xml:space="preserve">Emsallere Uygun Olmayan Gelir ve Giderler(+/-) </t>
  </si>
  <si>
    <t>EBITDA Adjustments</t>
  </si>
  <si>
    <t>Faaliyet Dışı Varlıklardan Üretilen Gelirler/Giderler (+/-)</t>
  </si>
  <si>
    <t>Firma Sahiplerine Ödenen Normaldışı Maaş ve Bonuslar (+/-)</t>
  </si>
  <si>
    <t>Olağanüstü Gelir ve Giderler (+/-)</t>
  </si>
  <si>
    <t>Prepaid Expenses</t>
  </si>
  <si>
    <t>Peşin Ödenmiş Giderler</t>
  </si>
  <si>
    <t>Satış Miktarındaki Değişim</t>
  </si>
  <si>
    <t>İndeks</t>
  </si>
  <si>
    <t>pd</t>
  </si>
  <si>
    <t>mv</t>
  </si>
  <si>
    <t>Product 1</t>
  </si>
  <si>
    <t>Product 2</t>
  </si>
  <si>
    <t>Product 3</t>
  </si>
  <si>
    <t>Product 4</t>
  </si>
  <si>
    <t>Product 5</t>
  </si>
  <si>
    <t>Product 6</t>
  </si>
  <si>
    <t>Product 7</t>
  </si>
  <si>
    <t>Ürün</t>
  </si>
  <si>
    <t>Birim</t>
  </si>
  <si>
    <t>Other</t>
  </si>
  <si>
    <t>Ortalama Satış Fiyatı</t>
  </si>
  <si>
    <t>Satış Tutarı</t>
  </si>
  <si>
    <t>TOPLAM TUTAR</t>
  </si>
  <si>
    <t>Satış Miktarı (Milyon TL)</t>
  </si>
  <si>
    <t>Adet</t>
  </si>
  <si>
    <t>YURTİÇİ SATIŞLAR</t>
  </si>
  <si>
    <t>YURDIŞI SATIŞLAR</t>
  </si>
  <si>
    <t>Diğer Ürün/Hizmetler</t>
  </si>
  <si>
    <t>Brüt Satış Tahmini</t>
  </si>
  <si>
    <t>YURTİÇİ SATIŞLARIN MALİYETİ</t>
  </si>
  <si>
    <t>Satış Miktarı (Milyon)</t>
  </si>
  <si>
    <t>Ortalama Birim Maliyet</t>
  </si>
  <si>
    <t>DİĞER SATIŞLARIN MALİYETİ</t>
  </si>
  <si>
    <t>Tarihsel SMM</t>
  </si>
  <si>
    <t>SATIŞLARIN MALİYETİ TAHMİNİ</t>
  </si>
  <si>
    <t>Maliyet Yapısı</t>
  </si>
  <si>
    <t>Yurtiçi Satışların Maliyeti</t>
  </si>
  <si>
    <t>YURTDIŞI SATIŞLARIN MALİYETİ</t>
  </si>
  <si>
    <t>Yurtdışı Satışların Maliyeti</t>
  </si>
  <si>
    <t>Analist Tahmini</t>
  </si>
  <si>
    <t>BİLANÇO</t>
  </si>
  <si>
    <t>Aktifler</t>
  </si>
  <si>
    <t>Toplam Aktifler</t>
  </si>
  <si>
    <t>Pasifler</t>
  </si>
  <si>
    <t>Kısa Vadeli Borçlar</t>
  </si>
  <si>
    <t>Uzun Vadeli Borçlar</t>
  </si>
  <si>
    <t>Toplam Pasifler</t>
  </si>
  <si>
    <t>Ertelenmiş Vergi Yükümlülükleri</t>
  </si>
  <si>
    <t>Ana Ortaklığa Ait Özkaynaklar</t>
  </si>
  <si>
    <t>Deferred tax assets</t>
  </si>
  <si>
    <t>ERTELENMİŞ VERGİ VARLIĞI</t>
  </si>
  <si>
    <t>Mahsup Edilebilecek Mali Zararlar</t>
  </si>
  <si>
    <t>Fixed Assets</t>
  </si>
  <si>
    <t>Makro Veriler</t>
  </si>
  <si>
    <t>USD/TL_YılSonu</t>
  </si>
  <si>
    <t>USD/TL_Ortalama</t>
  </si>
  <si>
    <t>Enflasyon_ABD</t>
  </si>
  <si>
    <t>Dolar Bazlı (Kısa Vadeli, &lt;1Yıl)</t>
  </si>
  <si>
    <t>TL Bazlı (Kısa Vadeli, &lt;1Yıl)</t>
  </si>
  <si>
    <t>VUK</t>
  </si>
  <si>
    <t>Dolar Bazlı Risk Primi</t>
  </si>
  <si>
    <t>TL Bazlı Risk Primi</t>
  </si>
  <si>
    <t>Şirket Adı:</t>
  </si>
  <si>
    <t>En Son Mali Yıl Dönemi:</t>
  </si>
  <si>
    <t>Değerleme Tarihi:</t>
  </si>
  <si>
    <t>Tahmin Periyot Dönemi:</t>
  </si>
  <si>
    <t>Değerleme Kuru:</t>
  </si>
  <si>
    <t>Faaliyet Ölçü Birimi:</t>
  </si>
  <si>
    <t>Mali Tablo Standardı:</t>
  </si>
  <si>
    <t>Dolar</t>
  </si>
  <si>
    <t>Adet/Ton/Metre</t>
  </si>
  <si>
    <t>Arçelik A.Ş.</t>
  </si>
  <si>
    <t>Gross Sales</t>
  </si>
  <si>
    <t>Sales Deductions</t>
  </si>
  <si>
    <t xml:space="preserve">Bilanço </t>
  </si>
  <si>
    <t>Satış İade ve İndirimleri</t>
  </si>
  <si>
    <t>Tarihsel</t>
  </si>
  <si>
    <t>Gelir Tablosu</t>
  </si>
  <si>
    <t>Brüt Kar/Zarar</t>
  </si>
  <si>
    <t>Faaliyet Giderleri</t>
  </si>
  <si>
    <t>Net Satışlar</t>
  </si>
  <si>
    <t xml:space="preserve">   AR-GE Giderleri</t>
  </si>
  <si>
    <t xml:space="preserve">   Pazarlama,Satış ve Dağıtım Giderleri</t>
  </si>
  <si>
    <t xml:space="preserve">   Genel Yönetim Giderleri</t>
  </si>
  <si>
    <t>Esas Faaliyet Karı</t>
  </si>
  <si>
    <t>Faiz, Amortisman ve Vergi Öncesi Kar</t>
  </si>
  <si>
    <t>Diğer Faaliyetlerden Kar/Zararlar</t>
  </si>
  <si>
    <t>Diğer Olağandışı Kar/Zararlar</t>
  </si>
  <si>
    <t xml:space="preserve">  Diğer Faaliyetlerden Gelir ve Karlar</t>
  </si>
  <si>
    <t xml:space="preserve">  Diğer Faaliyetlerden Gider ve Zararlar</t>
  </si>
  <si>
    <t xml:space="preserve">  Diğer Olağandışı Gelir ve Karlar</t>
  </si>
  <si>
    <t xml:space="preserve">  Diğer Olağandışı Gider ve Zararlar</t>
  </si>
  <si>
    <t>İştirak Karı/Zararı</t>
  </si>
  <si>
    <t>Firma Halka Açıkmı:</t>
  </si>
  <si>
    <t>Evet/Hayır</t>
  </si>
  <si>
    <t>EDIT_Bilanço</t>
  </si>
  <si>
    <t>EDIT_Gelir Tablosu</t>
  </si>
  <si>
    <t xml:space="preserve">  Finansal Gelirler</t>
  </si>
  <si>
    <t xml:space="preserve">  Finansal Giderler</t>
  </si>
  <si>
    <t>Vergi Öncesi Kar</t>
  </si>
  <si>
    <t>Vergi</t>
  </si>
  <si>
    <t>Vergi Sonrası Net Kar</t>
  </si>
  <si>
    <t>Net Finansal Kar/Zarar</t>
  </si>
  <si>
    <t>Yatırım Faaliyetlerinden Gelirler</t>
  </si>
  <si>
    <t>Yatırım Faaliyetlerinden Giderler (-)</t>
  </si>
  <si>
    <t>İştiraklerden ve Yatırım Faaliyetlerinden Kar/Zarar</t>
  </si>
  <si>
    <t>Amortisman ve İfta Giderleri</t>
  </si>
  <si>
    <t>Faiz, Vergi ve Amortisman Öncesi Kar</t>
  </si>
  <si>
    <t>FAVÖK Düzeltmeleri</t>
  </si>
  <si>
    <t>FAİZ, VERGİ ve AMORTİSMAN ÖNCESİ KAR</t>
  </si>
  <si>
    <t>(FAVÖK, EBITDA)</t>
  </si>
  <si>
    <t>Düzeltilmiş FAVÖK</t>
  </si>
  <si>
    <t>Düzeltilmiş FAVÖK Marjı</t>
  </si>
  <si>
    <t>Operasyonel İşletme Sermayesi</t>
  </si>
  <si>
    <t>Net İşletme Sermayesi</t>
  </si>
  <si>
    <t>Net Ertelenmiş Vergi Varlığı/Yükümlülüğü</t>
  </si>
  <si>
    <t>Faaliyet Dışı Ertelenmiş Vergi Varlığı/Yükümlülüğü</t>
  </si>
  <si>
    <t>Operasyonel Net Ertelenmiş Vergi Varlığı/Yüküm.</t>
  </si>
  <si>
    <t>Ertelenmiş Vergi Yükümlülüğü</t>
  </si>
  <si>
    <t>Nakit Akım Tablosu</t>
  </si>
  <si>
    <t>Amortisman ve İfta Gideri</t>
  </si>
  <si>
    <t>Finansman Hareketleri</t>
  </si>
  <si>
    <t>Sermaye Arttırımı</t>
  </si>
  <si>
    <t>Bedelli Sermaye Arttırımı Tutarı:</t>
  </si>
  <si>
    <t>Dönem Başı Nakit ve Benzerleri</t>
  </si>
  <si>
    <t>Dönem Sonu Nakit ve Benzerleri</t>
  </si>
  <si>
    <t>Tahmini</t>
  </si>
  <si>
    <r>
      <t>Inflation_</t>
    </r>
    <r>
      <rPr>
        <b/>
        <i/>
        <sz val="11"/>
        <color theme="1"/>
        <rFont val="Centaur"/>
        <family val="1"/>
      </rPr>
      <t>USA</t>
    </r>
  </si>
  <si>
    <t>SATIŞLARIN MALİYETİNİN TAHMİNİ (SMM)</t>
  </si>
  <si>
    <t>NET İŞLETME SERMAYESİ TAHMİNİ(Net Working Capital Requirment, NWC)</t>
  </si>
  <si>
    <t>Tahminde Kullanılacak Tarihsel Dönem Sayısı:</t>
  </si>
  <si>
    <t>Operasyonel İşletme Sermayesi (OIS)</t>
  </si>
  <si>
    <t>Net İşletme Sermayesi/Satışlar</t>
  </si>
  <si>
    <t>Net İşletme Sermayesi/SMM</t>
  </si>
  <si>
    <t>Ara Dönem :</t>
  </si>
  <si>
    <t>Nakit ve Benzerleri</t>
  </si>
  <si>
    <t>Cari Varlıklar (Nakit Dışı)</t>
  </si>
  <si>
    <t>Cari Yükümlülükler (Mali Borç Dışı)</t>
  </si>
  <si>
    <t>Ertelenmiş Vergi Varlığı (net)</t>
  </si>
  <si>
    <t>Ertelenmiş Vergi Yükümlülüğü (net)</t>
  </si>
  <si>
    <t xml:space="preserve">1.Yöntem </t>
  </si>
  <si>
    <t>Yöntem 1: Tarihsel Satışların Yüzdesi</t>
  </si>
  <si>
    <t>TicAl/SMM</t>
  </si>
  <si>
    <t>Min TicAl/S</t>
  </si>
  <si>
    <t>Ortalama TicAl/S</t>
  </si>
  <si>
    <t>Medyan TicAl/S</t>
  </si>
  <si>
    <t>Ağırlıklı TicAl/S</t>
  </si>
  <si>
    <t>Maks TicAl/S</t>
  </si>
  <si>
    <t>Soklar</t>
  </si>
  <si>
    <t>Stoklar/SMM</t>
  </si>
  <si>
    <t>Min TicAl/SMM</t>
  </si>
  <si>
    <t>MakSMM TicAl/SMM</t>
  </si>
  <si>
    <t>Ortalama TicAl/SMM</t>
  </si>
  <si>
    <t>Medyan TicAl/SMM</t>
  </si>
  <si>
    <t>Ağırlıklı TicAl/SMM</t>
  </si>
  <si>
    <t>TicAl/S</t>
  </si>
  <si>
    <t>Stoklar/S</t>
  </si>
  <si>
    <t>Min Stoklar/S</t>
  </si>
  <si>
    <t>Maks Stoklar/S</t>
  </si>
  <si>
    <t>Ortalama Stoklar/S</t>
  </si>
  <si>
    <t>Medyan Stoklar/S</t>
  </si>
  <si>
    <t>Ağırlıklı Stoklar/S</t>
  </si>
  <si>
    <t>DDnV/S</t>
  </si>
  <si>
    <t>Min DDnV/S</t>
  </si>
  <si>
    <t>Maks DDnV/S</t>
  </si>
  <si>
    <t>Ortalama DDnV/S</t>
  </si>
  <si>
    <t>Medyan DDnV/S</t>
  </si>
  <si>
    <t>Ağırlıklı DDnV/S</t>
  </si>
  <si>
    <t>Min DDnV/SMM</t>
  </si>
  <si>
    <t>KV Ticari Borçlar</t>
  </si>
  <si>
    <t>KVTBorc/S</t>
  </si>
  <si>
    <t>Min KVTBorc/S</t>
  </si>
  <si>
    <t>Maks KVTBorc/S</t>
  </si>
  <si>
    <t>Ortalama KVTBorc/S</t>
  </si>
  <si>
    <t>Medyan KVTBorc/S</t>
  </si>
  <si>
    <t>Ağırlıklı KVTBorc/S</t>
  </si>
  <si>
    <t>DKVBorc/S</t>
  </si>
  <si>
    <t>Min DKVBorc/S</t>
  </si>
  <si>
    <t>Maks DKVBorc/S</t>
  </si>
  <si>
    <t>Ortalama DKVBorc/S</t>
  </si>
  <si>
    <t>Medyan DKVBorc/S</t>
  </si>
  <si>
    <t>Ağırlıklı DKVBorc/S</t>
  </si>
  <si>
    <t>EVY/S</t>
  </si>
  <si>
    <t>Min EVY/S</t>
  </si>
  <si>
    <t>Maks EVY/S</t>
  </si>
  <si>
    <t>Ortalama EVY/S</t>
  </si>
  <si>
    <t>Medyan EVY/S</t>
  </si>
  <si>
    <t>Ağırlıklı EVY/S</t>
  </si>
  <si>
    <t>Min Stoklar/SMM</t>
  </si>
  <si>
    <t>Maks Stoklar/SMM</t>
  </si>
  <si>
    <t>Ortalama Stoklar/SMM</t>
  </si>
  <si>
    <t>Medyan Stoklar/SMM</t>
  </si>
  <si>
    <t>Ağırlıklı Stoklar/SMM</t>
  </si>
  <si>
    <t>Maks DDnV/SMM</t>
  </si>
  <si>
    <t>Ortalama DDnV/SMM</t>
  </si>
  <si>
    <t>Medyan DDnV/SMM</t>
  </si>
  <si>
    <t>Ağırlıklı DDnV/SMM</t>
  </si>
  <si>
    <t>EVV/S</t>
  </si>
  <si>
    <t>Min EVV/S</t>
  </si>
  <si>
    <t>Maks EVV/S</t>
  </si>
  <si>
    <t>Ortalama EVV/S</t>
  </si>
  <si>
    <t>Medyan EVV/S</t>
  </si>
  <si>
    <t>Ağırlıklı EVV/S</t>
  </si>
  <si>
    <t>EVV/SMM</t>
  </si>
  <si>
    <t>DDnV/SMM</t>
  </si>
  <si>
    <t>Min EVV/SMM</t>
  </si>
  <si>
    <t>Maks EVV/SMM</t>
  </si>
  <si>
    <t>Ortalama EVV/SMM</t>
  </si>
  <si>
    <t>Medyan EVV/SMM</t>
  </si>
  <si>
    <t>Ağırlıklı EVV/SMM</t>
  </si>
  <si>
    <t>KVTBorc/SMM</t>
  </si>
  <si>
    <t>Min KVTBorc/SMM</t>
  </si>
  <si>
    <t>% SMM</t>
  </si>
  <si>
    <t>% Satış</t>
  </si>
  <si>
    <t>Net İşletme Sermayesi Değişimi</t>
  </si>
  <si>
    <t>İNDİRGENMİŞ NAKİT AKIMLARI</t>
  </si>
  <si>
    <t>(Firmaya Olan Serbest Nakit Akımları)</t>
  </si>
  <si>
    <t>Serbest Nakit Akımı</t>
  </si>
  <si>
    <t>Büyüme Oranı</t>
  </si>
  <si>
    <t>Baz Yıl</t>
  </si>
  <si>
    <t xml:space="preserve">   Pazarlama, Satış ve Dağıtım Giderleri</t>
  </si>
  <si>
    <t>- Vergi</t>
  </si>
  <si>
    <t>Esas Faaliyet Karı (1-t)</t>
  </si>
  <si>
    <t>+Amortisman Giderleri</t>
  </si>
  <si>
    <t>- Sermaye Harcamaları</t>
  </si>
  <si>
    <t>- İşletme Sermayesi Değişimi</t>
  </si>
  <si>
    <t>Firmaya Serbest Nakit Akışı (FSNA)</t>
  </si>
  <si>
    <t>İNA Sonuçları</t>
  </si>
  <si>
    <t>+Nakit Akışların Bugünkü Değeri (2016-2025)</t>
  </si>
  <si>
    <t>Nakit Akış Varsayımları</t>
  </si>
  <si>
    <t>YO</t>
  </si>
  <si>
    <t>Sermaye Yapısı</t>
  </si>
  <si>
    <t>Tutar</t>
  </si>
  <si>
    <t>Toplam Sermaye</t>
  </si>
  <si>
    <t>AOSM</t>
  </si>
  <si>
    <t>Finansal Borç/Özkaynak</t>
  </si>
  <si>
    <t>Ham Beta</t>
  </si>
  <si>
    <t>Düzeltilmiş Beta</t>
  </si>
  <si>
    <t>Özsermaye Maliyeti</t>
  </si>
  <si>
    <t>İskonto Faktörü</t>
  </si>
  <si>
    <t>+Terminal Değerin Bugünkü Değeri</t>
  </si>
  <si>
    <t>Operasyonel Varlıkların Bugünkü Değeri</t>
  </si>
  <si>
    <t>+Nakit Mevcutu ve Faaliyet Dışı Varlıklar</t>
  </si>
  <si>
    <t>Özkaynakların Tahmini Piyasa Değeri</t>
  </si>
  <si>
    <t>Terminal Değer Varsayımları (10-+)</t>
  </si>
  <si>
    <t>Büyüme Oranı:</t>
  </si>
  <si>
    <t xml:space="preserve"> -Toplam Finansal Borç</t>
  </si>
  <si>
    <t>Risksiz Faiz Oranı:</t>
  </si>
  <si>
    <t>Risk Primi:</t>
  </si>
  <si>
    <t>Beta:</t>
  </si>
  <si>
    <t>Yatırım/Amortisman:</t>
  </si>
  <si>
    <t>Yöntem 1:Yatırım/Satışlar</t>
  </si>
  <si>
    <t>Sermaye Harcamaları (Yatırım)</t>
  </si>
  <si>
    <t>Yatırım</t>
  </si>
  <si>
    <t>Yatırım/S</t>
  </si>
  <si>
    <t>Min Yatırım/S</t>
  </si>
  <si>
    <t>Max Yatırım/S</t>
  </si>
  <si>
    <t>Ortalama Yatırım/S</t>
  </si>
  <si>
    <t>Medyan Yatırım/S</t>
  </si>
  <si>
    <t>Ağırlıklı Yatırım/S</t>
  </si>
  <si>
    <t>Yöntem 3: Tahmini Hesaplama</t>
  </si>
  <si>
    <t>Faydalı Ömür</t>
  </si>
  <si>
    <t>Yatırım Tutarı</t>
  </si>
  <si>
    <t>Hurda Değeri</t>
  </si>
  <si>
    <t>Yeni Yatırımların Toplam Amortisman Gideri</t>
  </si>
  <si>
    <t>( + ) Mevcut Sabit Varlıkların Amortisman Gideri</t>
  </si>
  <si>
    <t>Tahmini Toplam Amortisman Gideri</t>
  </si>
  <si>
    <t>MEVCUT SABİT VARLIKLARIN AMORTİSMAN ve İTFA GİDERLERİ</t>
  </si>
  <si>
    <t>Mevcut Maddi Duran Varlıkların Amortisman Giderleri</t>
  </si>
  <si>
    <t>Mevcut Maddi Olmayan Duran Varlık İtfası</t>
  </si>
  <si>
    <t>Toplam Amortisman ve İtfa Giderleri</t>
  </si>
  <si>
    <t>Maddi ve Maddi Olmayan DV</t>
  </si>
  <si>
    <t>Duran Varlık /S</t>
  </si>
  <si>
    <t>DV/S</t>
  </si>
  <si>
    <t>DV</t>
  </si>
  <si>
    <t>Tahmini Hesaplama</t>
  </si>
  <si>
    <t>Amortisman ve İtfa/Net Sabit Varlıklar</t>
  </si>
  <si>
    <t>Amortisman ve İtfa/Net Satışlar</t>
  </si>
  <si>
    <t>Yöntem 1: Amortisman ve İfta/Net Sabit Varlıklar</t>
  </si>
  <si>
    <t>Yöntem 2: Amortisman ve İtfa/Net Satışlar</t>
  </si>
  <si>
    <t>Tahmini Amortisman ve İtfa Gideri</t>
  </si>
  <si>
    <t>Yatırım/Satışlar</t>
  </si>
  <si>
    <t>Analist Beklentisi</t>
  </si>
  <si>
    <t>Yöntem 3:Net Duran Varlıklar/Satışlar</t>
  </si>
  <si>
    <t>Net Duran Varlıklar/Satışlar</t>
  </si>
  <si>
    <t>Yöntem 2:Analist Beklentisi</t>
  </si>
  <si>
    <t>Tahmini Yatırım</t>
  </si>
  <si>
    <t xml:space="preserve">2.Yöntem </t>
  </si>
  <si>
    <t>Yöntem 2: Tarihsel Faaliyet Giderleri/Satışlar Oranı</t>
  </si>
  <si>
    <t>Yöntem 3: Analist Tahmini</t>
  </si>
  <si>
    <t>Tarihsel Veri</t>
  </si>
  <si>
    <t>Maks SMM/Satışlar</t>
  </si>
  <si>
    <t>Ağırlıklı SMM/Satışlar</t>
  </si>
  <si>
    <t>Yöntem 1: Tarihsel Satışların Maliyeti/Satışlar</t>
  </si>
  <si>
    <t>Varsayımlar</t>
  </si>
  <si>
    <t>Satışlardaki Büyüme Oranı</t>
  </si>
  <si>
    <t>Direkt İşçlikte Fiyat Değişimi</t>
  </si>
  <si>
    <t>Satış Fiyatlarındaki Değişimi</t>
  </si>
  <si>
    <t>Sabit Genel Üretim Giderleri Değişimi (Büyümenin %'si olarak)</t>
  </si>
  <si>
    <t>Amortisman Giderleri Değişimi (Büyümenin %'si olarak)</t>
  </si>
  <si>
    <t>Satış Fiyatı</t>
  </si>
  <si>
    <t>Birim Maliyet</t>
  </si>
  <si>
    <t>Brüt Kar Marjı</t>
  </si>
  <si>
    <t>Brüt Kar</t>
  </si>
  <si>
    <t>Tahmini Satışların Maliyeti</t>
  </si>
  <si>
    <t>FAALİYET GİDERLERİNİN TAHMİNİ (Operating Expenses, Opex)</t>
  </si>
  <si>
    <t>Satış Tahmini</t>
  </si>
  <si>
    <t xml:space="preserve">Diğer </t>
  </si>
  <si>
    <t>Toplam Brüt Satış Tutarı</t>
  </si>
  <si>
    <t>Net Satış Tahmini</t>
  </si>
  <si>
    <t>Yöntem 2: Analist Tahmini</t>
  </si>
  <si>
    <t>Yöntem 1: Tarihsel Büyüme Oranı</t>
  </si>
  <si>
    <t>Satışlardan İade ve İndirimler (SİVİ)</t>
  </si>
  <si>
    <t>Min SİVİ/Sales</t>
  </si>
  <si>
    <t>Maks SİVİ/Sales</t>
  </si>
  <si>
    <t>Ortalama SİVİ/Sales</t>
  </si>
  <si>
    <t>Medyan SİVİ/Sales</t>
  </si>
  <si>
    <t>SİVİ/Satışlar</t>
  </si>
  <si>
    <t>SİVİ</t>
  </si>
  <si>
    <t>SMM/Satışlr</t>
  </si>
  <si>
    <t>Regresyon Analizi</t>
  </si>
  <si>
    <t>Ağırlıklı Ortalama SMM/Satışlar</t>
  </si>
  <si>
    <t>Ağırlıklı Ortalama SİVİ/Sales</t>
  </si>
  <si>
    <t>Terminal Büyüme Oranı</t>
  </si>
  <si>
    <t>Pazarlama, Satış ve Dağıtım</t>
  </si>
  <si>
    <t>AR-GE Gideri/Satışlar</t>
  </si>
  <si>
    <t>Pazarlama, Satış ve Dağ./Satışlar</t>
  </si>
  <si>
    <t>Genel Yönetim Giderleri/Satışlar</t>
  </si>
  <si>
    <t>ARGE Gideri</t>
  </si>
  <si>
    <t>PSD Gideri</t>
  </si>
  <si>
    <t>GYG Gideri</t>
  </si>
  <si>
    <t>Faaliyet Giderleri Tahmini</t>
  </si>
  <si>
    <t>Faaliyet Giderleri/Satışlar</t>
  </si>
  <si>
    <t>Ağırlıklı Ortalama AR-GE/Satışlar</t>
  </si>
  <si>
    <t>Ağırlıklı Ortalama PSD/Satışlar</t>
  </si>
  <si>
    <t>Ağırlıklı GYG/Satışlar</t>
  </si>
  <si>
    <t>Sermaye Harcamaları Tahmini</t>
  </si>
  <si>
    <t>Amortisman ve İtfa Giderleri Tahmini</t>
  </si>
  <si>
    <t>Duran Varlıklar (Maddi ve Olmayan)</t>
  </si>
  <si>
    <t>Ertelenmiş Vergi Varlıkları,net</t>
  </si>
  <si>
    <t>Sermaye Arttırımı (Nakit, Bedelli)</t>
  </si>
  <si>
    <t>Kısa Vadeli Piyasa Faizi</t>
  </si>
  <si>
    <t>DİĞER GELİR ve GİDERLER</t>
  </si>
  <si>
    <t>Diğer Faaliyetlerden Gider ve Zararlar</t>
  </si>
  <si>
    <t>Diğer Faaliyetlerden Gelir ve Karlar/Satışlar</t>
  </si>
  <si>
    <t>Finansal Duran Varlıklar (FDV)</t>
  </si>
  <si>
    <t>İştiraklerden ve Yatırım Faaliyetlerinden Kar/Zarar (ISKAZ)</t>
  </si>
  <si>
    <t>ISKAZ/FDV</t>
  </si>
  <si>
    <t>Nakit ve Benzerleri (Nakit)</t>
  </si>
  <si>
    <t>Diğer Faaliyetlerden Gelir ve Karlar (DFG)</t>
  </si>
  <si>
    <t>Min DFG/Satışlar</t>
  </si>
  <si>
    <t>Max DFG/Satışlar</t>
  </si>
  <si>
    <t>Ortalama DFG/Satışlar</t>
  </si>
  <si>
    <t>Medyan DFG/Satışlar</t>
  </si>
  <si>
    <t>Ağırlıklı Ortalama DFG/Satışlar</t>
  </si>
  <si>
    <t>Diğer Faaliyetlerden Gider ve Zararlar (DFGd)</t>
  </si>
  <si>
    <t>Min DFGd/Satışlar</t>
  </si>
  <si>
    <t>Max DFGd/Satışlar</t>
  </si>
  <si>
    <t>Ortalama DFGd/Satışlar</t>
  </si>
  <si>
    <t>Medyan DFGd/Satışlar</t>
  </si>
  <si>
    <t>Ağırlıklı DFGd/Satışlar</t>
  </si>
  <si>
    <t>DFG/Satış</t>
  </si>
  <si>
    <t>DFG</t>
  </si>
  <si>
    <t>DFGd/Satış</t>
  </si>
  <si>
    <t>DFGd</t>
  </si>
  <si>
    <t>İştiraklerden ve Yatırım Faaliyetlerinden Kar/Zarar (IZKAZ)</t>
  </si>
  <si>
    <t>Min IZKAZ/FDV</t>
  </si>
  <si>
    <t>Max IZKAZ/FDV</t>
  </si>
  <si>
    <t>Ortalama IZKAZ/FDV</t>
  </si>
  <si>
    <t>Medyan IZKAZ/FDV</t>
  </si>
  <si>
    <t>İZKAZ/FDV</t>
  </si>
  <si>
    <t>İZKAZ</t>
  </si>
  <si>
    <t>Ağırlıklı IZKAZ/FDV</t>
  </si>
  <si>
    <t>Diğer Gelir ve Giderler</t>
  </si>
  <si>
    <t>Baz</t>
  </si>
  <si>
    <t>Kar Payı Ödemesi</t>
  </si>
  <si>
    <t>Benzer Şirketler</t>
  </si>
  <si>
    <t>A. Benzer Şirket Çarpanları</t>
  </si>
  <si>
    <t>Cari Piyasa Verileri</t>
  </si>
  <si>
    <t>Ortalama-Basit</t>
  </si>
  <si>
    <t>Ortalama-Medyan</t>
  </si>
  <si>
    <t>Ortalama-Ağırlıklı (PD)</t>
  </si>
  <si>
    <t>B. Tarihsel Ortalama Çarpan Yaklaşımı</t>
  </si>
  <si>
    <t>Seçim</t>
  </si>
  <si>
    <t>Benzer Şirket Çarpanları</t>
  </si>
  <si>
    <t>FD/FAVÖK Oranı</t>
  </si>
  <si>
    <t>F/K Oranı</t>
  </si>
  <si>
    <t>PD/DD Oranı</t>
  </si>
  <si>
    <t>FD/S Oranı</t>
  </si>
  <si>
    <t>Göreceli Değerleme Sonuçları</t>
  </si>
  <si>
    <t>Benzer Şirket Çarpanları Yaklaşımı</t>
  </si>
  <si>
    <t>Tarihsel Ortalama Çarpan Yaklaşımı</t>
  </si>
  <si>
    <t xml:space="preserve">  F/K Oranı</t>
  </si>
  <si>
    <t xml:space="preserve">  PD/DD Oranı</t>
  </si>
  <si>
    <t xml:space="preserve">  FD/FAVÖK Oranı</t>
  </si>
  <si>
    <t xml:space="preserve">  FD/S Oranı</t>
  </si>
  <si>
    <t>Değerleme Sonuçları</t>
  </si>
  <si>
    <t>Tahmini Değer</t>
  </si>
  <si>
    <t>TPD</t>
  </si>
  <si>
    <t>TPD: Tahmini Piyasa Değeri</t>
  </si>
  <si>
    <t>KARPAYI ÖDEMESİ</t>
  </si>
  <si>
    <t>Karpayı Ödemesi (Kpayı)</t>
  </si>
  <si>
    <t>Net Dönem Karı (NDKarı)</t>
  </si>
  <si>
    <t>Kpayı/NDKarı</t>
  </si>
  <si>
    <t>Karpayı/Net Dönem Karı</t>
  </si>
  <si>
    <t>Kpayı</t>
  </si>
  <si>
    <t>Yöntem 1: Tarihsel Karpayı Ödemesi/Net Dönem Karı Oranı</t>
  </si>
  <si>
    <t>Kontrol Gücü Olmayan Paylar İçin Karpayı Ödeme Oranı</t>
  </si>
  <si>
    <t>Ana Şirket İçin Karpayı Ödeme Oranı</t>
  </si>
  <si>
    <t>NAKİT ve BENZERLERİ</t>
  </si>
  <si>
    <t>Yöntem 1: Nakit ve Benzerleri/Net Satış Oranı</t>
  </si>
  <si>
    <t>Nakit ve Benzerleri (NB)</t>
  </si>
  <si>
    <t>NB/S</t>
  </si>
  <si>
    <t>Min Kpayı/NDKarı</t>
  </si>
  <si>
    <t>Max Kpayı/NDKarı</t>
  </si>
  <si>
    <t>Ortalama Kpayı/NDKarı</t>
  </si>
  <si>
    <t>Medyan Kpayı/NDKarı</t>
  </si>
  <si>
    <t>Min NB/S</t>
  </si>
  <si>
    <t>Max NB/S</t>
  </si>
  <si>
    <t>Ortalama NB/S</t>
  </si>
  <si>
    <t>Medyan NB/S</t>
  </si>
  <si>
    <t>Ağırlıklı Ortalama NB/S</t>
  </si>
  <si>
    <t>Ağırlıklı Ortalama Kpayı/NDKarı</t>
  </si>
  <si>
    <t>NB</t>
  </si>
  <si>
    <t>Operasyonel Kasa Fazlası</t>
  </si>
  <si>
    <t>KVBorçlar</t>
  </si>
  <si>
    <t>Cari Oran</t>
  </si>
  <si>
    <t>KVBorç</t>
  </si>
  <si>
    <t>Kısa Vadeli Borç Tahmini</t>
  </si>
  <si>
    <t>Toplam Fonlama İhtiyacı</t>
  </si>
  <si>
    <t>K.V.Borç Tahmini</t>
  </si>
  <si>
    <t>Fonlama İhtiyacı</t>
  </si>
  <si>
    <t>Tahmini Kısa Vadeli Borçlanma Faizi</t>
  </si>
  <si>
    <t>Tahmini Uzun Vadeli Borçlanma Faizi</t>
  </si>
  <si>
    <t>K.V.Finansal Borç Tahmini_Yılsonu</t>
  </si>
  <si>
    <t>K.V.Finansal Borç Tahmini_Ortalama</t>
  </si>
  <si>
    <t>U.V.Finansal Borç Tahmini_Ortalama</t>
  </si>
  <si>
    <t>U.V.Finansal Borç Tahmini_Yılsonu</t>
  </si>
  <si>
    <t>Tahmini Kısa Vadeli Borçlanma Faiz Gideri</t>
  </si>
  <si>
    <t>Tahmini Uzun Vadeli Borçlanma Faiz Gideri</t>
  </si>
  <si>
    <t>Toplam Faiz Gideri</t>
  </si>
  <si>
    <t>AĞIRLIKLI ORTALAMA SERMAYE MALİYETİ (AOSM, WACC)</t>
  </si>
  <si>
    <t>Yöntem 2: Hedef Finansal Kaldıraç</t>
  </si>
  <si>
    <t>Yöntem 1: Finansal Kaldıraç Baz Yıl Değeri ve Sabit</t>
  </si>
  <si>
    <t>Yöntem 3: Tahmini Finansal Kaldıraç</t>
  </si>
  <si>
    <t>Sektör</t>
  </si>
  <si>
    <t>Sektör Seçimine Göre Otomatik Gelsin…</t>
  </si>
  <si>
    <t>Tahmini Ağırlıklı Ortama Sermaye Maliyeti</t>
  </si>
  <si>
    <t>Finansal Kaldıraç Baz Yıl Değeri ve Sabit</t>
  </si>
  <si>
    <t>Hedef Finansal Kaldıraç</t>
  </si>
  <si>
    <t>Tahmini Finansal Kaldıraç</t>
  </si>
  <si>
    <t>Tahmini AOSM</t>
  </si>
  <si>
    <t>Tahmini İskonto Faktörü</t>
  </si>
  <si>
    <t>Faaliyet Gösterilen Sektör</t>
  </si>
  <si>
    <t xml:space="preserve">Mali </t>
  </si>
  <si>
    <t>Alt Sektörler Seçilebilmeli…</t>
  </si>
  <si>
    <t>Kardan Sermayeye Eklenen Tutarlar:</t>
  </si>
  <si>
    <t>Temel Girdiler</t>
  </si>
  <si>
    <t>ŞİRKET DEĞERLEME</t>
  </si>
  <si>
    <t>Karşılaştırmalı Tablolar Analizi</t>
  </si>
  <si>
    <t>Dikey Yüzdeler Analizi</t>
  </si>
  <si>
    <t>Trend Analizi</t>
  </si>
  <si>
    <t>Oran Analizi</t>
  </si>
  <si>
    <r>
      <t>Ş</t>
    </r>
    <r>
      <rPr>
        <b/>
        <sz val="14"/>
        <color rgb="FF000000"/>
        <rFont val="Centaur"/>
        <family val="1"/>
      </rPr>
      <t>İRKET FİNANSAL PERFORMANS DE</t>
    </r>
    <r>
      <rPr>
        <b/>
        <sz val="14"/>
        <color rgb="FF000000"/>
        <rFont val="Times New Roman"/>
        <family val="1"/>
        <charset val="162"/>
      </rPr>
      <t>Ğ</t>
    </r>
    <r>
      <rPr>
        <b/>
        <sz val="14"/>
        <color rgb="FF000000"/>
        <rFont val="Centaur"/>
        <family val="1"/>
      </rPr>
      <t>ERLENDİRME</t>
    </r>
  </si>
  <si>
    <r>
      <t>İ</t>
    </r>
    <r>
      <rPr>
        <b/>
        <sz val="14"/>
        <color rgb="FF000000"/>
        <rFont val="Centaur"/>
        <family val="1"/>
      </rPr>
      <t>FLAS RİSKİ ÖLÇÜMÜ VE TAHMİNİ DERECELENDİRME NOTU</t>
    </r>
  </si>
  <si>
    <t>∆</t>
  </si>
  <si>
    <t>Aktivite Oranları</t>
  </si>
  <si>
    <t>Altman Z-Skore Analizi</t>
  </si>
  <si>
    <t>Tahmini Derecelendirme Notu</t>
  </si>
  <si>
    <t>Satışların Tahmini</t>
  </si>
  <si>
    <t>Tarihsel Büyüme Oranı</t>
  </si>
  <si>
    <t xml:space="preserve">Tarihsel SMM/Satışlar </t>
  </si>
  <si>
    <t>Satışların Maliyeti Tahmini</t>
  </si>
  <si>
    <t>Yöntem 4: Analist Tahmini</t>
  </si>
  <si>
    <t>Yöntem 3: Regresyon Analizi</t>
  </si>
  <si>
    <t>Faaliyet Giderlerinin Yapısal Olarak İncelenmesi</t>
  </si>
  <si>
    <t>Tarihsel Faaliyet Giderleri/Satışlar Oranı</t>
  </si>
  <si>
    <t>Yöntem 2: Tarihsel Diğer Faaliyet Gelir-Giderleri/Satışlar Oranı</t>
  </si>
  <si>
    <t>Tarihsel Diğer Faaliyet Gelir-Giderleri/Satışlar Oranı</t>
  </si>
  <si>
    <t>Diğer Faaliyet Gelir/Gider Tahmini</t>
  </si>
  <si>
    <t>Resetleme Yeri</t>
  </si>
  <si>
    <t>Net İşletme Sermayesi Tahmini</t>
  </si>
  <si>
    <t>Tarihsel Satışların Yüzdesi</t>
  </si>
  <si>
    <t>Tarihsel Satışların Maliyeti Yüzdesi</t>
  </si>
  <si>
    <t>Yöntem 2: Tarihsel Satışların Maliyetinin Yüzdesi (%SMM)</t>
  </si>
  <si>
    <t>Sermaye (Yatırım) Harcamaları Tahmini</t>
  </si>
  <si>
    <t>Karpayı Tahmini</t>
  </si>
  <si>
    <t>Tarihsel Karpayı Ödemesi/Net Dönem Karı Oranı</t>
  </si>
  <si>
    <t>Nakit ve Benzerleri Tahmini</t>
  </si>
  <si>
    <t>Nakit ve Benzerleri/Net Satışları Oranı</t>
  </si>
  <si>
    <t>MALİ BORÇLARIN TAHMİNİ</t>
  </si>
  <si>
    <t>Min Cari Oran</t>
  </si>
  <si>
    <t>Max Cari Oran</t>
  </si>
  <si>
    <t>Ortalama Cari Oran</t>
  </si>
  <si>
    <t>Medyan Cari Oran</t>
  </si>
  <si>
    <t>Ağırlıklı Ortalama Cari Oran</t>
  </si>
  <si>
    <t>Proforma Bilanço</t>
  </si>
  <si>
    <t>Proforma Gelir Tablosu</t>
  </si>
  <si>
    <t>İşletme Sermayesi Hareketleri:</t>
  </si>
  <si>
    <t>İşletme Sermayesi Değişimi</t>
  </si>
  <si>
    <t>Diğer Varlık/Yükümlülük Hareketleri:</t>
  </si>
  <si>
    <t>Diğer Varlık/Yükümlülük Değişimi</t>
  </si>
  <si>
    <t>Faaliyetlerden Sağlanan Net Nakit</t>
  </si>
  <si>
    <t>Yatırım Harcamaları</t>
  </si>
  <si>
    <t>Finansal Duran Varlık Yatırımları</t>
  </si>
  <si>
    <t>Finansman Öncesi Nakit Akımları</t>
  </si>
  <si>
    <t>Net Yatırım Harcamaları</t>
  </si>
  <si>
    <t>Yatırım Faaliyetlerinden Net Nakit Akımı</t>
  </si>
  <si>
    <t>K.V.Borçlar</t>
  </si>
  <si>
    <t>U.V.Borçlar</t>
  </si>
  <si>
    <t>Karpayı Ödemesi</t>
  </si>
  <si>
    <t>Finasman Hareketlerinden Nakit Akımı</t>
  </si>
  <si>
    <t>Nakit ve Benzerleri Değişimi</t>
  </si>
  <si>
    <t>Azınlık Sermaye Değişimi</t>
  </si>
  <si>
    <t>Toplam Sermaye Arttırımı</t>
  </si>
  <si>
    <t>Criteria</t>
  </si>
  <si>
    <t>Z (for manufacturers)</t>
  </si>
  <si>
    <r>
      <t>X</t>
    </r>
    <r>
      <rPr>
        <b/>
        <vertAlign val="subscript"/>
        <sz val="12"/>
        <rFont val="Centaur"/>
        <family val="1"/>
      </rPr>
      <t>1 =</t>
    </r>
  </si>
  <si>
    <r>
      <t>X</t>
    </r>
    <r>
      <rPr>
        <b/>
        <vertAlign val="subscript"/>
        <sz val="12"/>
        <rFont val="Centaur"/>
        <family val="1"/>
      </rPr>
      <t>2 =</t>
    </r>
    <r>
      <rPr>
        <b/>
        <sz val="12"/>
        <rFont val="Centaur"/>
        <family val="1"/>
      </rPr>
      <t xml:space="preserve"> </t>
    </r>
  </si>
  <si>
    <r>
      <t>X</t>
    </r>
    <r>
      <rPr>
        <b/>
        <vertAlign val="subscript"/>
        <sz val="12"/>
        <rFont val="Centaur"/>
        <family val="1"/>
      </rPr>
      <t>3 =</t>
    </r>
  </si>
  <si>
    <r>
      <t>X</t>
    </r>
    <r>
      <rPr>
        <vertAlign val="subscript"/>
        <sz val="12"/>
        <rFont val="Centaur"/>
        <family val="1"/>
      </rPr>
      <t>1 =</t>
    </r>
    <r>
      <rPr>
        <sz val="12"/>
        <rFont val="Centaur"/>
        <family val="1"/>
      </rPr>
      <t xml:space="preserve">  </t>
    </r>
  </si>
  <si>
    <r>
      <t>X</t>
    </r>
    <r>
      <rPr>
        <vertAlign val="subscript"/>
        <sz val="12"/>
        <rFont val="Centaur"/>
        <family val="1"/>
      </rPr>
      <t>2 =</t>
    </r>
    <r>
      <rPr>
        <sz val="12"/>
        <rFont val="Centaur"/>
        <family val="1"/>
      </rPr>
      <t xml:space="preserve">  </t>
    </r>
  </si>
  <si>
    <r>
      <t>X</t>
    </r>
    <r>
      <rPr>
        <vertAlign val="subscript"/>
        <sz val="12"/>
        <rFont val="Centaur"/>
        <family val="1"/>
      </rPr>
      <t>3 =</t>
    </r>
    <r>
      <rPr>
        <sz val="12"/>
        <rFont val="Centaur"/>
        <family val="1"/>
      </rPr>
      <t xml:space="preserve"> </t>
    </r>
  </si>
  <si>
    <r>
      <t>X</t>
    </r>
    <r>
      <rPr>
        <vertAlign val="subscript"/>
        <sz val="12"/>
        <rFont val="Centaur"/>
        <family val="1"/>
      </rPr>
      <t>4</t>
    </r>
    <r>
      <rPr>
        <sz val="12"/>
        <rFont val="Centaur"/>
        <family val="1"/>
      </rPr>
      <t xml:space="preserve"> =  </t>
    </r>
  </si>
  <si>
    <r>
      <t>X</t>
    </r>
    <r>
      <rPr>
        <b/>
        <vertAlign val="subscript"/>
        <sz val="12"/>
        <rFont val="Centaur"/>
        <family val="1"/>
      </rPr>
      <t>4 =</t>
    </r>
  </si>
  <si>
    <t>Oranlar:</t>
  </si>
  <si>
    <t>Sonuçlar:</t>
  </si>
  <si>
    <t>Formül ve Sonuçları</t>
  </si>
  <si>
    <t>Değerlendirme</t>
  </si>
  <si>
    <t>Kriterler</t>
  </si>
  <si>
    <t>Güvenli Alan</t>
  </si>
  <si>
    <t>Nört (Gri) Alan</t>
  </si>
  <si>
    <t>İflas Alanı</t>
  </si>
  <si>
    <t>Altman'ın Z-Skoru</t>
  </si>
  <si>
    <t>Firma Halka Açıksa Piyasa Değeri:</t>
  </si>
  <si>
    <t>Faaliyetlerden Brüt Nakit Akım</t>
  </si>
  <si>
    <t>Faaliyetlerden Brüt Nakit Akım:</t>
  </si>
  <si>
    <t>Net İşletme Sermayesi/Toplam Varlıklar</t>
  </si>
  <si>
    <t>Dağıtılmamış Karlar/Toplam Varlıklar</t>
  </si>
  <si>
    <t>Faiz ve Vergi Öncesi Kar/Toplam Varlıklar</t>
  </si>
  <si>
    <t>Özkaynak/Toplam Borç</t>
  </si>
  <si>
    <t>&gt; 2.60</t>
  </si>
  <si>
    <t>1.1 -- 2.6</t>
  </si>
  <si>
    <t>&lt; 1.1</t>
  </si>
  <si>
    <r>
      <t xml:space="preserve">     Z  =  3.25+6.56X</t>
    </r>
    <r>
      <rPr>
        <vertAlign val="subscript"/>
        <sz val="12"/>
        <rFont val="Centaur"/>
        <family val="1"/>
      </rPr>
      <t>1</t>
    </r>
    <r>
      <rPr>
        <sz val="12"/>
        <rFont val="Centaur"/>
        <family val="1"/>
      </rPr>
      <t xml:space="preserve"> + 3.26X</t>
    </r>
    <r>
      <rPr>
        <vertAlign val="subscript"/>
        <sz val="12"/>
        <rFont val="Centaur"/>
        <family val="1"/>
      </rPr>
      <t>2</t>
    </r>
    <r>
      <rPr>
        <sz val="12"/>
        <rFont val="Centaur"/>
        <family val="1"/>
      </rPr>
      <t xml:space="preserve"> + 6.72X</t>
    </r>
    <r>
      <rPr>
        <vertAlign val="subscript"/>
        <sz val="12"/>
        <rFont val="Centaur"/>
        <family val="1"/>
      </rPr>
      <t>3</t>
    </r>
    <r>
      <rPr>
        <sz val="12"/>
        <rFont val="Centaur"/>
        <family val="1"/>
      </rPr>
      <t xml:space="preserve"> + 1.05X</t>
    </r>
    <r>
      <rPr>
        <vertAlign val="subscript"/>
        <sz val="12"/>
        <rFont val="Centaur"/>
        <family val="1"/>
      </rPr>
      <t>4</t>
    </r>
    <r>
      <rPr>
        <sz val="12"/>
        <rFont val="Centaur"/>
        <family val="1"/>
      </rPr>
      <t>=</t>
    </r>
  </si>
  <si>
    <t>Z Skore</t>
  </si>
  <si>
    <t>Bsğlantıdaki formülü aynen alınız..</t>
  </si>
  <si>
    <t>İndirgenmiş Nakit Akımları</t>
  </si>
  <si>
    <t>Bir Önceki Bölümün Aynısı Gelecek…</t>
  </si>
  <si>
    <t>Sayfa</t>
  </si>
  <si>
    <t>RAPORLAMA</t>
  </si>
  <si>
    <t>Finansal Durum Analizi Raporu</t>
  </si>
  <si>
    <t>Şirket Değerleme Raporu</t>
  </si>
  <si>
    <t>Wordde Şablon Hazırlanacak…</t>
  </si>
  <si>
    <t>YA</t>
  </si>
  <si>
    <t>xFirmaAnaliziveDegerleme</t>
  </si>
  <si>
    <t>TA</t>
  </si>
  <si>
    <t>DYA</t>
  </si>
  <si>
    <t>FRasyo</t>
  </si>
  <si>
    <t>Zskor</t>
  </si>
  <si>
    <t>axValofIndustryMGA.04</t>
  </si>
  <si>
    <t>Cos</t>
  </si>
  <si>
    <t>Othex</t>
  </si>
  <si>
    <t>Dividant</t>
  </si>
  <si>
    <t>Cash</t>
  </si>
  <si>
    <t>PGT</t>
  </si>
  <si>
    <t>PBL</t>
  </si>
  <si>
    <t>Proforma Nakit Akım Tablosu</t>
  </si>
  <si>
    <t>CFS</t>
  </si>
  <si>
    <t>Ağırlıklı Ortalama Sermaye Maliyeti</t>
  </si>
  <si>
    <t>Beta Tahmini (Kaldıraçlı, Özkaynak)</t>
  </si>
  <si>
    <t>Benzer Şirket</t>
  </si>
  <si>
    <t>Borç</t>
  </si>
  <si>
    <t>Mali Borç</t>
  </si>
  <si>
    <t>B/Ö</t>
  </si>
  <si>
    <t>Oranı</t>
  </si>
  <si>
    <t>Kaldıraçsız</t>
  </si>
  <si>
    <t>Beta Tahmini</t>
  </si>
  <si>
    <t>Düzeltilmiş</t>
  </si>
  <si>
    <t>Şirket</t>
  </si>
  <si>
    <t>Tahmini Düzeltilmiş Beta</t>
  </si>
  <si>
    <t>Ortalama</t>
  </si>
  <si>
    <t>Benzer Şirket Ham Beta Ortalaması</t>
  </si>
  <si>
    <t>Benzer Şirket Düzeltilmiş Beta Ortalaması</t>
  </si>
  <si>
    <t>Tahmini Düzeltilmiş Kaldıraçlı Beta</t>
  </si>
  <si>
    <t>Baz Dönem</t>
  </si>
  <si>
    <t>Yöntem 4: Regresyon Analizi</t>
  </si>
  <si>
    <t>Yükseliş/Düşüş Potansiyeli</t>
  </si>
  <si>
    <t>Funds from operations (FFO)</t>
  </si>
  <si>
    <t>Debt/Capital %</t>
  </si>
  <si>
    <t>Toplam Mali Borç/(Özkaynak+Top.Mali Borç)</t>
  </si>
  <si>
    <t>FFO (funds from operations): EBITDA, minus net interest expense minus current tax expense (plus or minus all applicable adjustments).</t>
  </si>
  <si>
    <t>Net Dönem Karı+Amortisman Gideri</t>
  </si>
  <si>
    <t>FİNANSAL VERİ GİRİŞİ</t>
  </si>
  <si>
    <t>WWW.queenstocks.com</t>
  </si>
  <si>
    <t>Finansal Verilerin Girişi</t>
  </si>
  <si>
    <t>Bilanço</t>
  </si>
  <si>
    <t>Ertelenmiş Vergi</t>
  </si>
  <si>
    <t>FAVÖK Düzeltmesi</t>
  </si>
  <si>
    <t>Sermaye Arttırımları</t>
  </si>
  <si>
    <t>Karpayı Ödemeleri</t>
  </si>
  <si>
    <t>Ek Getiri Değerleme Yöntemi</t>
  </si>
  <si>
    <t>Gordon Büyüme Yöntemi</t>
  </si>
  <si>
    <t>Karpayı İndirgeme Yöntemi</t>
  </si>
  <si>
    <t>Net Aktif Değeri</t>
  </si>
  <si>
    <t>Sadece Sanayi Şirketleri</t>
  </si>
  <si>
    <t>Bütün Şirketler</t>
  </si>
  <si>
    <t>Mali Sektör Şirketleri</t>
  </si>
  <si>
    <t>Yöntem 2: Maliyetleri Yapısal Olarak Değerlendirme</t>
  </si>
  <si>
    <t>Yöntem 1: Faaliyet Giderlerini Yapısal Olarak Değerlendirme</t>
  </si>
  <si>
    <t>Hangi Şirketler İçin</t>
  </si>
  <si>
    <t>Sonuç Değeri</t>
  </si>
  <si>
    <t>Değer</t>
  </si>
  <si>
    <t>Cari Piyasa Değeri</t>
  </si>
  <si>
    <t>Prim/İskonto Potansiyeli</t>
  </si>
  <si>
    <t>TL Bazlı (Uzun Vadeli, &gt;=10 Yıl)</t>
  </si>
  <si>
    <t>Dolar Bazlı (Uzun Vadeli, &gt;=10 Yıl)</t>
  </si>
  <si>
    <t>DOKÜMAN YÖNETİMİ</t>
  </si>
  <si>
    <t>Doküman Yönetimi</t>
  </si>
  <si>
    <t>GENEL BİLGİLER</t>
  </si>
  <si>
    <t>Şirket profili ve kısa tarihçe</t>
  </si>
  <si>
    <t>Şirket’in faaliyet konusu, ürünleri ve markaları</t>
  </si>
  <si>
    <t>Şirket’in ortaklık yapısı</t>
  </si>
  <si>
    <t>Üst düzey yöneticilerin kısa özgeçmişleri</t>
  </si>
  <si>
    <t>Organizasyon şeması</t>
  </si>
  <si>
    <t>Ürün katalogları ve/veya büroşürleri</t>
  </si>
  <si>
    <t>Değerlemenin gerekçesi</t>
  </si>
  <si>
    <t>1.</t>
  </si>
  <si>
    <t>2.</t>
  </si>
  <si>
    <t>3.</t>
  </si>
  <si>
    <t>4.</t>
  </si>
  <si>
    <t>Sahip olunan  her türlü sertifika, lisans ve markalar hakkında bilgi</t>
  </si>
  <si>
    <t>ÜRETİM</t>
  </si>
  <si>
    <t>Üretim tesisleri hakkında bilgi (fabrikanın yeri,  açık ve kapalı alan yüzölçümleri)</t>
  </si>
  <si>
    <t>Detaylı üretilen ürün listesi, SKU bazında ve ürün grubu bazında</t>
  </si>
  <si>
    <t>Üretim kapasitesi ve son üç yılın kapasite kullanım oranları (ürün grubu bazında, v.b.gibi)</t>
  </si>
  <si>
    <t>Son ün yılın üretim miktarları(sku bazında ve ürün grubu olarak)</t>
  </si>
  <si>
    <t>Üretimde çalışan toplam personel sayısı (mavi ve beyaz yakalı ayrımı yapılmış şekilde)</t>
  </si>
  <si>
    <t>I.</t>
  </si>
  <si>
    <t>II.</t>
  </si>
  <si>
    <t>III.</t>
  </si>
  <si>
    <t>Ürün bazında en az son üç yıllık ticar mal satış miktar ve tutarları (yurtiçi ve yurtdışı ayrımlı)</t>
  </si>
  <si>
    <t>Ürün bazında en az son üç yıllık üretimden satış miktar ve tutarları (yurtiçi ve yurtdışı ayrımlı)</t>
  </si>
  <si>
    <t>Satınalınan hammadde tedarikinde ilk 10 teradikçi (miktar ve tutar olarak)</t>
  </si>
  <si>
    <t>En az son üç yılın detaylık ilk on müşterisi (miktar ve tutar olarak ayrı ayrı)</t>
  </si>
  <si>
    <t>İhracatta ilk on ülke (satış miktar ve tutar olarak)</t>
  </si>
  <si>
    <t>Satışların dağıtım kanallarına göre dağılımı (miktar ve tutar olarak)</t>
  </si>
  <si>
    <t>Pazar hakkında genel bilgi</t>
  </si>
  <si>
    <t>Ürün grubu bazında Şirketin ve rakiplerin Pazar payı</t>
  </si>
  <si>
    <t>SATIŞ, PAZARLAMA ve DAĞITIM</t>
  </si>
  <si>
    <t>Dağıtım kanalları hakkında bilgi</t>
  </si>
  <si>
    <t>IV.</t>
  </si>
  <si>
    <t>MALİYETLER</t>
  </si>
  <si>
    <t>Son üç yılın satışların maliyeti detayı:</t>
  </si>
  <si>
    <t>Hammadde Maliyeti (miktarxtutar)</t>
  </si>
  <si>
    <t>Direkt İşçilik (işçi sayısıxortalama maliyet)</t>
  </si>
  <si>
    <t>Genel İmalat Maliyetleri:</t>
  </si>
  <si>
    <t xml:space="preserve">    Amortisman Giderleri</t>
  </si>
  <si>
    <t xml:space="preserve">    Enerji Giderleri</t>
  </si>
  <si>
    <t xml:space="preserve">    Ambalaj Giderleri</t>
  </si>
  <si>
    <t xml:space="preserve">    Endirekt İşçilikler (işçi sayısıxortalama maliyet)</t>
  </si>
  <si>
    <t xml:space="preserve">    Diğer</t>
  </si>
  <si>
    <t>V.</t>
  </si>
  <si>
    <t>SATIŞ, PAZARLAMA ve DAĞITIM GİDERLERİ</t>
  </si>
  <si>
    <t>Detaylı Pazarlama, Satış ve Dağıtım Giderleri</t>
  </si>
  <si>
    <t>Departman bazı personel sayısı</t>
  </si>
  <si>
    <t>Önemli giderler hakkında bilgi..</t>
  </si>
  <si>
    <t>VI.</t>
  </si>
  <si>
    <t>GENEL YÖNETİM GİDERLERİ</t>
  </si>
  <si>
    <t>Detaylı Genel Yönetim Giderleri</t>
  </si>
  <si>
    <t>VII.</t>
  </si>
  <si>
    <t>FİNANSAL BİLGİLER</t>
  </si>
  <si>
    <t>En az son üç yılın gelir tablosu, bilançosu ve kesin mizanı</t>
  </si>
  <si>
    <t>Varsa denetim yada tam tasdik raporları</t>
  </si>
  <si>
    <t>Geçmiş yıllarda yapılan sermaye arttırımları tutarları (bedelli ve bedelsiz)</t>
  </si>
  <si>
    <t>Geçmiş yıllarda yapılan karpayı (temettü ) ödemeleri</t>
  </si>
  <si>
    <t>En az son üç yılda yapılan yatırım tutarı, detayı ve kapasiteye etkisi</t>
  </si>
  <si>
    <t>En az son üç yılda ayrılan amortisman ve itfa giderleri (maddi ve maddi olmayan ayrı ayrı)</t>
  </si>
  <si>
    <t>Genel olarak uygulanan amortisman ve itfa oranı</t>
  </si>
  <si>
    <t>Mevcut varlıklar (maddi ve maddi olmayan) için önümüzdeki 10 yıl için hazırlanmış amortisman ve itfa gideri tabloları</t>
  </si>
  <si>
    <t>Borçların detay listesi (kreditör, vade, maliyet ve kur)</t>
  </si>
  <si>
    <t>Grup içi şirketler arası ticari borç ve alacak ilişkisi bilgisi (tutar ve firnalar)</t>
  </si>
  <si>
    <t>Grup içi şirketler arası ticari olmayan borç ve alacak ilişkisi bilgisi (tutar ve firnalar)</t>
  </si>
  <si>
    <t>Şirketin gayrimenkullerinin detay bilgisi (varsa ekspertiz raporu)</t>
  </si>
  <si>
    <t>Şirketin aktifinde gözüken faaliyetlerinde kullanmadığı gayrimenkullerin detay bilgisi (varsa ekseperiz raporu)</t>
  </si>
  <si>
    <t>GELECEĞE İLİŞKİN TAHMİNLER</t>
  </si>
  <si>
    <t>En az 5 Yıllık</t>
  </si>
  <si>
    <t>Ürün bazında satış miktar ve tutar projeksiyonları</t>
  </si>
  <si>
    <t>Yapılması planlanan yatırımlar ve kapasiteye etkileri</t>
  </si>
  <si>
    <t>İstendi</t>
  </si>
  <si>
    <t>Alındı</t>
  </si>
  <si>
    <t>Gerekli Değil</t>
  </si>
  <si>
    <t>Şirket Değerleme Doküman İzleme</t>
  </si>
  <si>
    <t>Finansal Durum Analizi Doküman İzleme</t>
  </si>
  <si>
    <t>DokYon</t>
  </si>
  <si>
    <t>Şablon Hazırla…</t>
  </si>
  <si>
    <t>Maliyetlerin Yapısal Olarak İncelenmesi</t>
  </si>
  <si>
    <t>www.valuex.com</t>
  </si>
  <si>
    <t>ALTERNATİF İSİMLER</t>
  </si>
  <si>
    <t>ŞİRKET FİNANSAL PERFORMANS DEĞERLENDİRME</t>
  </si>
  <si>
    <t>FİNANSAL TAHMİN</t>
  </si>
  <si>
    <t>VALUEX</t>
  </si>
  <si>
    <t>Basit Değerlendirme</t>
  </si>
  <si>
    <t>Detaylı Değerlendirme</t>
  </si>
  <si>
    <t>Basit Tahmin</t>
  </si>
  <si>
    <t>Detaylı Tahmin</t>
  </si>
  <si>
    <t>Basit Değerleme</t>
  </si>
  <si>
    <t>Detaylı Değerleme</t>
  </si>
  <si>
    <t>Tahmini Veri İçersin</t>
  </si>
  <si>
    <t>Sadece Tarihsel Veriye Dayalı</t>
  </si>
  <si>
    <t>İFLAS RİSKİ ÖLÇÜMÜ ve TAHMİNİ DERECELENDİRME NOTU</t>
  </si>
  <si>
    <t>Finansal Tahmin Raporu</t>
  </si>
  <si>
    <t>Detaylı Şirket Değerleme, Finansal Durum Analizi ve Finansal Tahmin</t>
  </si>
  <si>
    <t>Basit Şirket Değerleme, Finansal Durum Analizi ve Finansal Tahmin</t>
  </si>
  <si>
    <t>Finansal Tahmin Doküman İzleme</t>
  </si>
  <si>
    <t>www.valueseeker.com</t>
  </si>
  <si>
    <t>DonenVarlik</t>
  </si>
  <si>
    <t>HazirDegerler</t>
  </si>
  <si>
    <t>FinansalYatirimlar</t>
  </si>
  <si>
    <t>MenkulKiymetler</t>
  </si>
  <si>
    <t>TurkiyeCumhuriyetMerkezBankasiHesabi</t>
  </si>
  <si>
    <t>KredilerveAvanslar</t>
  </si>
  <si>
    <t>Faktoringalacaklari(net)</t>
  </si>
  <si>
    <t>KisaVadeliTicariAlacaklar</t>
  </si>
  <si>
    <t>FinansalKiralamaAlacaklari</t>
  </si>
  <si>
    <t>FinansSektoruFaalAlacaklar</t>
  </si>
  <si>
    <t>IliskiliTaraflardanAlacaklar</t>
  </si>
  <si>
    <t>DigerKisaVadeliAlacaklar</t>
  </si>
  <si>
    <t>CanliVarliklar</t>
  </si>
  <si>
    <t>KullanımiKisitliBankaBakiyeleri</t>
  </si>
  <si>
    <t>PesinOdenenKiraGiderleri</t>
  </si>
  <si>
    <t>DevamEdenSozlesmelereiliskinVarliklar</t>
  </si>
  <si>
    <t>TurevEnstrumanlar</t>
  </si>
  <si>
    <t>ErtelenenVergiVarliklari</t>
  </si>
  <si>
    <t>Durdurulanfaaliyetlerileilgilivarliklar</t>
  </si>
  <si>
    <t>DigerDonenVarliklar</t>
  </si>
  <si>
    <t>Vadesinekadareldetut</t>
  </si>
  <si>
    <t>SatilmayaHazirFinansalVarliklar</t>
  </si>
  <si>
    <t>AlimSatimAmacliMenkulKiymetler</t>
  </si>
  <si>
    <t>IsOrtakliklarininDonenVarliklaricindekiPayi</t>
  </si>
  <si>
    <t>EldenCıkarılacakFaaliyetlerileilgiliVarliklar</t>
  </si>
  <si>
    <t>Satimamaclieldetutulanmaddiduranvarliklar</t>
  </si>
  <si>
    <t>DuranVarliklar</t>
  </si>
  <si>
    <t>DuranVarliklar_MenkulKiymetler</t>
  </si>
  <si>
    <t>DuranVarliklar_KredilerveAvanslar</t>
  </si>
  <si>
    <t>DuranVarliklar_Faktoringalacaklari(net)</t>
  </si>
  <si>
    <t>DuranVarliklar_UzunVadeliTicariAlacaklar</t>
  </si>
  <si>
    <t>DuranVarliklar_FinansalKiralamaAlacaklari</t>
  </si>
  <si>
    <t>DuranVarliklar_FinansSektoruFaalAlacaklar</t>
  </si>
  <si>
    <t>DuranVarliklar_IliskiliTaraflardanAlacaklar</t>
  </si>
  <si>
    <t>DuranVarliklar_TurevEnstrumanlar</t>
  </si>
  <si>
    <t>DuranVarliklar_DigerUzunVadeliAlacaklar</t>
  </si>
  <si>
    <t>DuranVarliklar_FinansalYatirimlar</t>
  </si>
  <si>
    <t>DuranVarliklar_ozkaynakYontemiyleDegerlenenYatirimlar</t>
  </si>
  <si>
    <t>DuranVarliklar_CanliVarliklar</t>
  </si>
  <si>
    <t>DuranVarliklar_Stoklar</t>
  </si>
  <si>
    <t>DuranVarliklar_FinansalDuranVarliklar</t>
  </si>
  <si>
    <t>DuranVarliklar_Pozitif_Negatifserefiye</t>
  </si>
  <si>
    <t>DuranVarliklar_YatirimAmacliGayrimenkuller</t>
  </si>
  <si>
    <t>DuranVarliklar_AlimSatimAmacliGayrimenkuller(net)</t>
  </si>
  <si>
    <t>DuranVarliklar_MaddiDuranVarliklar</t>
  </si>
  <si>
    <t>DuranVarliklar_MaddiOlmayanDuranVarliklar</t>
  </si>
  <si>
    <t>DuranVarliklar_DevamEdenSozlesmelereilişkinVarliklar</t>
  </si>
  <si>
    <t>DuranVarliklar_ErtelenenVergiVarliklari</t>
  </si>
  <si>
    <t>DuranVarliklar_PesinOdenenKiraGiderleri</t>
  </si>
  <si>
    <t>DuranVarliklar_DigerDuranVarliklar</t>
  </si>
  <si>
    <t>DuranVarliklar_Vadesinekadareldetutmenkiy</t>
  </si>
  <si>
    <t>DuranVarliklar_SatilmayaHazirFinansalVarliklar</t>
  </si>
  <si>
    <t>DuranVarliklar_IsOrtakliklarininDuranVarliklaricindekiPayi</t>
  </si>
  <si>
    <t>DuranVarliklar_AnaOrtaklikDisiPaylar</t>
  </si>
  <si>
    <t>DuranVarliklar_TOPLAMAKTIFLER</t>
  </si>
  <si>
    <t>KisaVadeliYukumlulukler</t>
  </si>
  <si>
    <t>KisaVadeliYukumlulukler_FinansalBorclar</t>
  </si>
  <si>
    <t>KisaVadeliYukumlulukler_UzunVadeliFinansalBorclarinKisaVadeliKisimlari</t>
  </si>
  <si>
    <t>KisaVadeliYukumlulukler_Mevduat</t>
  </si>
  <si>
    <t>KisaVadeliYukumlulukler_TurevAraclar</t>
  </si>
  <si>
    <t>KisaVadeliYukumlulukler_Faktoringborclari</t>
  </si>
  <si>
    <t>KisaVadeliYukumlulukler_FinansalKiralamaislemlerindenBorclar</t>
  </si>
  <si>
    <t>KisaVadeliYukumlulukler_FinansSektoruFaaliyetlerindenBorclar</t>
  </si>
  <si>
    <t>KisaVadeliYukumlulukler_SigortaTeknikKarsiligi</t>
  </si>
  <si>
    <t>KisaVadeliYukumlulukler_DigerFinansalYukumlulukler</t>
  </si>
  <si>
    <t>KisaVadeliYukumlulukler_TicariBorclar</t>
  </si>
  <si>
    <t>KisaVadeliYukumlulukler_IliskiliTaraflaraBorclar</t>
  </si>
  <si>
    <t>KisaVadeliYukumlulukler_AlinanKrediler</t>
  </si>
  <si>
    <t>KisaVadeliYukumlulukler_DigerBorclar</t>
  </si>
  <si>
    <t>KisaVadeliYukumlulukler_AlinanAvanslar</t>
  </si>
  <si>
    <t>KisaVadeliYukumlulukler_DevletTesvikveYardimlari</t>
  </si>
  <si>
    <t>KisaVadeliYukumlulukler_CariDonemVergiYukumlulugu</t>
  </si>
  <si>
    <t>KisaVadeliYukumlulukler_BlokeHesaplar</t>
  </si>
  <si>
    <t>KisaVadeliYukumlulukler_DevamEdenSozlesmelerHakedisBedelleri</t>
  </si>
  <si>
    <t>KisaVadeliYukumlulukler_BorcveGiderKarsiliklari</t>
  </si>
  <si>
    <t>KisaVadeliYukumlulukler_CalisanlaraSaglananFaydalarailiskinKarsiliklar</t>
  </si>
  <si>
    <t>KisaVadeliYukumlulukler_ErtelenenVergiYukumlulugu</t>
  </si>
  <si>
    <t>KisaVadeliYukumlulukler_Durdurulanfaaliyetlerileilgiliyukumlulukler</t>
  </si>
  <si>
    <t>KisaVadeliYukumlulukler_DigerKisaVadeliBorclar</t>
  </si>
  <si>
    <t>KisaVadeliYukumlulukler_IsOrtakliklarininKisaVadeliYukumluluklericindekiPayi</t>
  </si>
  <si>
    <t>KisaVadeliYukumlulukler_EldenCikarilacakFaaliyetlerileilgiliYukumlulukler</t>
  </si>
  <si>
    <t>UzunVadeliYukumlulukler</t>
  </si>
  <si>
    <t>UzunVadeliYukumlulukler_Mevduatlar</t>
  </si>
  <si>
    <t>UzunVadeliYukumlulukler_FinansalBorclar</t>
  </si>
  <si>
    <t>UzunVadeliYukumlulukler_Faktoringborclari</t>
  </si>
  <si>
    <t>UzunVadeliYukumlulukler_FinansalKiralamaislemlerindenBorclar</t>
  </si>
  <si>
    <t>UzunVadeliYukumlulukler_FinansSektoruFaaliyetlerindenBorclar</t>
  </si>
  <si>
    <t>UzunVadeliYukumlulukler_Sigortateknikkarsiliklari</t>
  </si>
  <si>
    <t>UzunVadeliYukumlulukler_DigerFinansalYukumlulukler</t>
  </si>
  <si>
    <t>UzunVadeliYukumlulukler_TicariBorclar</t>
  </si>
  <si>
    <t>UzunVadeliYukumlulukler_IliskiliTaraflaraBorclar</t>
  </si>
  <si>
    <t>UzunVadeliYukumlulukler_AlinanKrediler</t>
  </si>
  <si>
    <t>UzunVadeliYukumlulukler_DigerBorclar</t>
  </si>
  <si>
    <t>UzunVadeliYukumlulukler_BlokeHesaplar</t>
  </si>
  <si>
    <t>UzunVadeliYukumlulukler_AlinanAvanslar</t>
  </si>
  <si>
    <t>UzunVadeliYukumlulukler_BorcveGiderKarsiliklari</t>
  </si>
  <si>
    <t>UzunVadeliYukumlulukler_TurevFinansalAraclardanBorclar</t>
  </si>
  <si>
    <t>UzunVadeliYukumlulukler_ErtelenenVergiYukumlulugu</t>
  </si>
  <si>
    <t>UzunVadeliYukumlulukler_DevletTesvikveYardimlari</t>
  </si>
  <si>
    <t>UzunVadeliYukumlulukler_DevamEdenSozlesmelerHakedisBedelleri</t>
  </si>
  <si>
    <t>UzunVadeliYukumlulukler_Pozitif_Negatifserefiye</t>
  </si>
  <si>
    <t>UzunVadeliYukumlulukler_DigerUzunVadeliBorclar</t>
  </si>
  <si>
    <t>UzunVadeliYukumlulukler_IsOrtakliklarininUzunVadeliYukumluluklericindekiPayi</t>
  </si>
  <si>
    <t>OzSermaye_AzinlikPayiDahil</t>
  </si>
  <si>
    <t>AnaOrtaklikDisiOzsermaye</t>
  </si>
  <si>
    <t>AnaOrtaklikDisiOzsermaye_AileUyeleri</t>
  </si>
  <si>
    <t>AnaOrtaklikDisiOzsermaye_Digerleri</t>
  </si>
  <si>
    <t>OZSERMAYE_ANAORTAKLIgAAiT</t>
  </si>
  <si>
    <t>OZSERMAYE_Sermaye</t>
  </si>
  <si>
    <t>OZSERMAYE_OdenmeyenSermaye</t>
  </si>
  <si>
    <t>OZSERMAYE_KarsilikliistirakSermayeDuzeltmesi</t>
  </si>
  <si>
    <t>OZSERMAYE_IsletmeninGeriSatinAlinanKendiHisseleri</t>
  </si>
  <si>
    <t>OZSERMAYE_SermayeYedekleri</t>
  </si>
  <si>
    <t>OZSERMAYE_SermayeTaahhutleri</t>
  </si>
  <si>
    <t>OZSERMAYE_Katkisermaye</t>
  </si>
  <si>
    <t>OZSERMAYE_AzinlikHisseleriSatisOpsiyonuDegerlemeFonu</t>
  </si>
  <si>
    <t>OZSERMAYE_EmisyonPrimi</t>
  </si>
  <si>
    <t>OZSERMAYE_YenidenDegerlemeArtisi</t>
  </si>
  <si>
    <t>OZSERMAYE_KarYedekleri</t>
  </si>
  <si>
    <t>OZSERMAYE_Sermayeartirimiileilgilimasraflar</t>
  </si>
  <si>
    <t>OZSERMAYE_NakitAkimKorumasiileilgiliBirikmisKar</t>
  </si>
  <si>
    <t>OZSERMAYE_KarsilikliistirakSerm</t>
  </si>
  <si>
    <t>OZSERMAYE_FinansalYatirimlarDegerArtisFonu</t>
  </si>
  <si>
    <t>OZSERMAYE_NetDonemKari</t>
  </si>
  <si>
    <t>OZSERMAYE_DonemZarari</t>
  </si>
  <si>
    <t>OZSERMAYE_GecmisYilKarlari</t>
  </si>
  <si>
    <t>OZSERMAYE_NetDonKarSerHesEdTranEdMDurVSaKari</t>
  </si>
  <si>
    <t>OZSERMAYE_GecmisYilZararlari</t>
  </si>
  <si>
    <t>OZSERMAYE_YabanciParaCevrimFarklari</t>
  </si>
  <si>
    <t>OZSERMAYE_KardanAyrilanKisitlanmisYedekler</t>
  </si>
  <si>
    <t>OZSERMAYE_ZararTelafiFonu</t>
  </si>
  <si>
    <t>OZSERMAYE_OzsermayeEnfDuzFarklari</t>
  </si>
  <si>
    <t>OZSERMAYE_SermayeBirlesmeFonu</t>
  </si>
  <si>
    <t>OZSERMAYE_IlaveOdenmisSermaye</t>
  </si>
  <si>
    <t>OZSERMAYE_BirikmisKarlar_Zararlar</t>
  </si>
  <si>
    <t>OZSERMAYE_YatirimTesvikleri</t>
  </si>
  <si>
    <t>OZSERMAYE_SatilmayaHazVarUzGerceklesmemisNetGelir</t>
  </si>
  <si>
    <t>OZSERMAYE_Anaortaklikhissesatiskar_zarar</t>
  </si>
  <si>
    <t>OZSERMAYE_AzinlikPaylari</t>
  </si>
  <si>
    <t>OZSERMAYE_TOPLAMPASiFLER</t>
  </si>
  <si>
    <t>BrutSatislar</t>
  </si>
  <si>
    <t>YurticiSatislar</t>
  </si>
  <si>
    <t>YurtdisiSatislar</t>
  </si>
  <si>
    <t>DigerSatislar</t>
  </si>
  <si>
    <t>Satislardanindirimler</t>
  </si>
  <si>
    <t>Satisdaniadeler</t>
  </si>
  <si>
    <t>Satisiskontolari</t>
  </si>
  <si>
    <t>Digerindirimler</t>
  </si>
  <si>
    <t>EsasFaaliyetGelirleri</t>
  </si>
  <si>
    <t>SATISGELIRLERI</t>
  </si>
  <si>
    <t>FaizGeliri</t>
  </si>
  <si>
    <t>SatislarinMaliyeti</t>
  </si>
  <si>
    <t>FaizGideri</t>
  </si>
  <si>
    <t>MuhtemelKrediZararKarsFinKirAlckKarsve</t>
  </si>
  <si>
    <t>HizmetGelirleri</t>
  </si>
  <si>
    <t>HizmetGiderleri</t>
  </si>
  <si>
    <t>KambiyoKari_Zarari</t>
  </si>
  <si>
    <t>SermayePiyasasiislemKari_Zarari</t>
  </si>
  <si>
    <t>EsasFaaliyetlerdenDigerGider_Gelir</t>
  </si>
  <si>
    <t>FaizUcretPrimKomisyonveDigerGelirler</t>
  </si>
  <si>
    <t>FaizUcretPrimKomisyonveDigerGiderler</t>
  </si>
  <si>
    <t>FinansSektoruFaaliyetlerindenbrutkar</t>
  </si>
  <si>
    <t>BrutEsasFaaliyetKari_Zarari</t>
  </si>
  <si>
    <t>FaaliyetGiderleri</t>
  </si>
  <si>
    <t>ArastirmaveGelistirmeGiderleri</t>
  </si>
  <si>
    <t>PazarlamaSatisveDagitimGiderleri</t>
  </si>
  <si>
    <t>GenelYonetimGiderleri</t>
  </si>
  <si>
    <t>GarantiGideri</t>
  </si>
  <si>
    <t>serefiyeitfaPayi</t>
  </si>
  <si>
    <t>NetEsasFaaliyetKari_Zarari</t>
  </si>
  <si>
    <t>YatirimFaaliyetlerindenGelirler</t>
  </si>
  <si>
    <t>YatirimFaaliyetlerindenGiderler</t>
  </si>
  <si>
    <t>DurdurulanFaalSatisindanEldeEdilenGelir</t>
  </si>
  <si>
    <t>DigerFaaliyetlerdenGelirveKarlar</t>
  </si>
  <si>
    <t>IstiraklerdenTemettuGelirleri</t>
  </si>
  <si>
    <t>BagliOrtaklardanTemettuGelirleri</t>
  </si>
  <si>
    <t>FaizveDigerTemettuGelirleri</t>
  </si>
  <si>
    <t>FaaliyetlerleilgiliDigerGelirler</t>
  </si>
  <si>
    <t>DigerFaaliyetlerdenZararlarveGiderler</t>
  </si>
  <si>
    <t>FinansmanGiderleri</t>
  </si>
  <si>
    <t>KisaVadeliBorclanmaGiderleri</t>
  </si>
  <si>
    <t>UzunVadeliBorclanmaGiderleri</t>
  </si>
  <si>
    <t>IstirakKari_Zarari</t>
  </si>
  <si>
    <t>FaaliyetKariveyaZarari</t>
  </si>
  <si>
    <t>OzkaynakYontDegerYatKar_ZararlarindakiPaylar</t>
  </si>
  <si>
    <t>EsasFaaliyetDisi_FinansalGelirler</t>
  </si>
  <si>
    <t>EsasFaaliyetDisi_FinansalGiderler</t>
  </si>
  <si>
    <t>OlaganustuGelirlerveKarlar</t>
  </si>
  <si>
    <t>KonusuKalmayanKarsiliklar</t>
  </si>
  <si>
    <t>OncekiDonemGelirveKarlari</t>
  </si>
  <si>
    <t>DigerOlaganustuGelirlerveKarlar</t>
  </si>
  <si>
    <t>OlaganustuGiderlerveZararlar</t>
  </si>
  <si>
    <t>CalismayanKisimGiderlerveZararlari</t>
  </si>
  <si>
    <t>OncekiDonemGiderveZararlari</t>
  </si>
  <si>
    <t>DigerOlaganustuGiderlerveZararlar</t>
  </si>
  <si>
    <t>SatilmayaHazFinVarKayMakulDegGelir_Gider</t>
  </si>
  <si>
    <t>istiraklerdengelir_gider</t>
  </si>
  <si>
    <t>NetParasalPozisyonKari_Zarari</t>
  </si>
  <si>
    <t>Menkulkiymetreeskontgelir_gider</t>
  </si>
  <si>
    <t>AnaOrtaklıkDisiKar_Zarar</t>
  </si>
  <si>
    <t>AileUyeleri</t>
  </si>
  <si>
    <t>Digerleri</t>
  </si>
  <si>
    <t>VergiOncesiKar_Zarar</t>
  </si>
  <si>
    <t>OdenecekVergiveYasalYukumlulukler</t>
  </si>
  <si>
    <t>DonemVergiGelir_Gideri</t>
  </si>
  <si>
    <t>ErtelenmisVergiGelir_Gideri</t>
  </si>
  <si>
    <t>SatisGrubuylailgiliKar_Zarar</t>
  </si>
  <si>
    <t>AzinlikPayi</t>
  </si>
  <si>
    <t>CevrimKari_Zarari</t>
  </si>
  <si>
    <t>DurdurulanFaaliyetlerileilgiliNetDonemKari</t>
  </si>
  <si>
    <t>DurdurulanFaaliyetlereiliskinAnaOrtaklikDisiPaylar</t>
  </si>
  <si>
    <t>NETDONEMKARI_ZARARI</t>
  </si>
  <si>
    <t>AzinlikPaylariNetDonemKari_Zarari</t>
  </si>
  <si>
    <t>AnaOrtaklikPaylariNetDonemKari_Zarari</t>
  </si>
  <si>
    <t>AmortismanveItfaGiderleri</t>
  </si>
  <si>
    <t>YatirimTutarlari</t>
  </si>
  <si>
    <t>OZSERMAYE_DagitilmamisKar</t>
  </si>
  <si>
    <t>kullanılmıyor</t>
  </si>
  <si>
    <t>bi sonraki hesaplamada kullanılıyor</t>
  </si>
  <si>
    <t>vars</t>
  </si>
  <si>
    <t>sales</t>
  </si>
  <si>
    <t>cos da kullnılıyor.</t>
  </si>
  <si>
    <t>100 default değermiş ? Kullanıcı girmeyecek</t>
  </si>
  <si>
    <t>kaldırılıcak</t>
  </si>
  <si>
    <t>silindi</t>
  </si>
  <si>
    <t>1-2 birleştirildi</t>
  </si>
  <si>
    <t>s1 a1</t>
  </si>
  <si>
    <t>a2 s3</t>
  </si>
  <si>
    <t>dept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</si>
</sst>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1">
    <numFmt numFmtId="164" formatCode="&quot;$&quot;#,##0_);[Red]\(&quot;$&quot;#,##0\)"/>
    <numFmt numFmtId="165" formatCode="_(* #,##0.00_);_(* \(#,##0.00\);_(* &quot;-&quot;??_);_(@_)"/>
    <numFmt numFmtId="166" formatCode="_-* #,##0.00\ _T_L_-;\-* #,##0.00\ _T_L_-;_-* &quot;-&quot;??\ _T_L_-;_-@_-"/>
    <numFmt numFmtId="167" formatCode="0.0"/>
    <numFmt numFmtId="168" formatCode="#,##0;[Red]\-#,##0;\-;_-@_-"/>
    <numFmt numFmtId="169" formatCode="0.0%"/>
    <numFmt numFmtId="170" formatCode="#,##0.0"/>
    <numFmt numFmtId="171" formatCode="0.000"/>
    <numFmt numFmtId="172" formatCode="[$$]#,##0.0_);\([$$]#,##0.0\);[$$]#,##0.0_);@_)"/>
    <numFmt numFmtId="173" formatCode="_-* #,##0.000\ _T_L_-;\-* #,##0.000\ _T_L_-;_-* &quot;-&quot;??\ _T_L_-;_-@_-"/>
    <numFmt numFmtId="174" formatCode="_(* #,##0_);_(* \(#,##0\);_(* &quot;-&quot;??_);_(@_)"/>
    <numFmt numFmtId="175" formatCode="#,##0.0\x"/>
    <numFmt numFmtId="176" formatCode="m/d/yy;@"/>
    <numFmt numFmtId="177" formatCode="0_)_%;_(\(0\)_%;0_)_%;@_(_%"/>
    <numFmt numFmtId="178" formatCode="[$-41F]mmmm\ yy;@"/>
    <numFmt numFmtId="179" formatCode="#,##0\ &quot;Yıl&quot;"/>
    <numFmt numFmtId="180" formatCode="_(#,##0.0_)_%;_(\(#,##0.0\)_%;_(&quot;–&quot;_)_%;@_(_%"/>
    <numFmt numFmtId="181" formatCode="&quot;Yes&quot;_)_%;;&quot;No&quot;_)_%"/>
    <numFmt numFmtId="182" formatCode="#,##0.000"/>
    <numFmt numFmtId="183" formatCode="0.0000"/>
    <numFmt numFmtId="184" formatCode="_(* #,##0.0000_);_(* \(#,##0.0000\);_(* &quot;-&quot;??_);_(@_)"/>
  </numFmts>
  <fonts count="131" x14ac:knownFonts="1">
    <font>
      <sz val="11"/>
      <color theme="1"/>
      <name val="Calibri"/>
      <family val="2"/>
      <charset val="162"/>
      <scheme val="minor"/>
    </font>
    <font>
      <sz val="9"/>
      <color indexed="81"/>
      <name val="Tahoma"/>
      <family val="2"/>
    </font>
    <font>
      <b/>
      <sz val="9"/>
      <color indexed="81"/>
      <name val="Tahoma"/>
      <family val="2"/>
    </font>
    <font>
      <sz val="11"/>
      <color theme="1"/>
      <name val="Calibri"/>
      <family val="2"/>
      <charset val="162"/>
      <scheme val="minor"/>
    </font>
    <font>
      <sz val="10"/>
      <name val="Arial"/>
      <family val="2"/>
    </font>
    <font>
      <sz val="10"/>
      <name val="Arial"/>
      <family val="2"/>
      <charset val="162"/>
    </font>
    <font>
      <sz val="10"/>
      <name val="MS Sans Serif"/>
      <family val="2"/>
      <charset val="162"/>
    </font>
    <font>
      <sz val="10"/>
      <color theme="1"/>
      <name val="Centaur"/>
      <family val="1"/>
    </font>
    <font>
      <b/>
      <sz val="10"/>
      <color theme="1"/>
      <name val="Centaur"/>
      <family val="1"/>
    </font>
    <font>
      <b/>
      <sz val="10"/>
      <color theme="0"/>
      <name val="Centaur"/>
      <family val="1"/>
    </font>
    <font>
      <b/>
      <i/>
      <sz val="10"/>
      <color theme="1"/>
      <name val="Centaur"/>
      <family val="1"/>
    </font>
    <font>
      <b/>
      <sz val="11"/>
      <color rgb="FFFF0000"/>
      <name val="Centaur"/>
      <family val="1"/>
    </font>
    <font>
      <sz val="11"/>
      <color theme="1"/>
      <name val="Centaur"/>
      <family val="1"/>
    </font>
    <font>
      <b/>
      <sz val="11"/>
      <color indexed="16"/>
      <name val="Centaur"/>
      <family val="1"/>
    </font>
    <font>
      <sz val="11"/>
      <name val="Centaur"/>
      <family val="1"/>
    </font>
    <font>
      <b/>
      <sz val="11"/>
      <color theme="1"/>
      <name val="Centaur"/>
      <family val="1"/>
    </font>
    <font>
      <b/>
      <sz val="11"/>
      <name val="Centaur"/>
      <family val="1"/>
    </font>
    <font>
      <b/>
      <sz val="11"/>
      <color theme="0"/>
      <name val="Centaur"/>
      <family val="1"/>
    </font>
    <font>
      <b/>
      <sz val="11"/>
      <color theme="9" tint="-0.249977111117893"/>
      <name val="Centaur"/>
      <family val="1"/>
    </font>
    <font>
      <sz val="11"/>
      <color theme="9" tint="-0.249977111117893"/>
      <name val="Centaur"/>
      <family val="1"/>
    </font>
    <font>
      <b/>
      <i/>
      <sz val="11"/>
      <color theme="9" tint="-0.249977111117893"/>
      <name val="Centaur"/>
      <family val="1"/>
    </font>
    <font>
      <i/>
      <sz val="11"/>
      <color theme="1"/>
      <name val="Centaur"/>
      <family val="1"/>
    </font>
    <font>
      <b/>
      <i/>
      <sz val="11"/>
      <name val="Centaur"/>
      <family val="1"/>
    </font>
    <font>
      <b/>
      <i/>
      <sz val="11"/>
      <color theme="1"/>
      <name val="Centaur"/>
      <family val="1"/>
    </font>
    <font>
      <b/>
      <sz val="12"/>
      <color theme="1"/>
      <name val="Centaur"/>
      <family val="1"/>
    </font>
    <font>
      <b/>
      <sz val="12"/>
      <color theme="0"/>
      <name val="Centaur"/>
      <family val="1"/>
    </font>
    <font>
      <sz val="11"/>
      <color rgb="FFC00000"/>
      <name val="Centaur"/>
      <family val="1"/>
    </font>
    <font>
      <sz val="11"/>
      <color rgb="FFFF0000"/>
      <name val="Centaur"/>
      <family val="1"/>
    </font>
    <font>
      <b/>
      <i/>
      <sz val="11"/>
      <color rgb="FFFF0000"/>
      <name val="Centaur"/>
      <family val="1"/>
    </font>
    <font>
      <b/>
      <sz val="11"/>
      <color rgb="FFC00000"/>
      <name val="Centaur"/>
      <family val="1"/>
    </font>
    <font>
      <sz val="9"/>
      <color indexed="81"/>
      <name val="Tahoma"/>
      <family val="2"/>
      <charset val="162"/>
    </font>
    <font>
      <b/>
      <sz val="9"/>
      <color indexed="81"/>
      <name val="Tahoma"/>
      <family val="2"/>
      <charset val="162"/>
    </font>
    <font>
      <i/>
      <sz val="12"/>
      <name val="Centaur"/>
      <family val="1"/>
    </font>
    <font>
      <b/>
      <sz val="12"/>
      <name val="Centaur"/>
      <family val="1"/>
    </font>
    <font>
      <sz val="12"/>
      <color theme="1"/>
      <name val="Centaur"/>
      <family val="1"/>
    </font>
    <font>
      <sz val="12"/>
      <name val="Centaur"/>
      <family val="1"/>
    </font>
    <font>
      <sz val="12"/>
      <color theme="0"/>
      <name val="Centaur"/>
      <family val="1"/>
    </font>
    <font>
      <b/>
      <sz val="18"/>
      <color theme="0"/>
      <name val="Centaur"/>
      <family val="1"/>
    </font>
    <font>
      <b/>
      <i/>
      <sz val="12"/>
      <color theme="0"/>
      <name val="Centaur"/>
      <family val="1"/>
    </font>
    <font>
      <b/>
      <sz val="10"/>
      <name val="Centaur"/>
      <family val="1"/>
    </font>
    <font>
      <sz val="10"/>
      <name val="Centaur"/>
      <family val="1"/>
    </font>
    <font>
      <sz val="9"/>
      <color theme="1"/>
      <name val="Centaur"/>
      <family val="1"/>
    </font>
    <font>
      <b/>
      <sz val="9"/>
      <color theme="1"/>
      <name val="Centaur"/>
      <family val="1"/>
    </font>
    <font>
      <b/>
      <i/>
      <sz val="10"/>
      <color rgb="FFFF0000"/>
      <name val="Centaur"/>
      <family val="1"/>
    </font>
    <font>
      <b/>
      <i/>
      <sz val="9"/>
      <color theme="1"/>
      <name val="Centaur"/>
      <family val="1"/>
    </font>
    <font>
      <b/>
      <sz val="20"/>
      <color theme="6" tint="0.79998168889431442"/>
      <name val="Centaur"/>
      <family val="1"/>
    </font>
    <font>
      <i/>
      <sz val="9"/>
      <color theme="1"/>
      <name val="Centaur"/>
      <family val="1"/>
    </font>
    <font>
      <b/>
      <sz val="14"/>
      <color theme="3" tint="-0.249977111117893"/>
      <name val="Centaur"/>
      <family val="1"/>
    </font>
    <font>
      <b/>
      <sz val="16"/>
      <color theme="1"/>
      <name val="Centaur"/>
      <family val="1"/>
    </font>
    <font>
      <b/>
      <sz val="12"/>
      <color theme="9" tint="-0.249977111117893"/>
      <name val="Centaur"/>
      <family val="1"/>
    </font>
    <font>
      <sz val="10"/>
      <color theme="9" tint="-0.249977111117893"/>
      <name val="Centaur"/>
      <family val="1"/>
    </font>
    <font>
      <b/>
      <i/>
      <sz val="10"/>
      <color theme="9" tint="-0.249977111117893"/>
      <name val="Centaur"/>
      <family val="1"/>
    </font>
    <font>
      <b/>
      <sz val="10"/>
      <color theme="4" tint="-0.249977111117893"/>
      <name val="Centaur"/>
      <family val="1"/>
    </font>
    <font>
      <b/>
      <sz val="10"/>
      <color theme="1" tint="4.9989318521683403E-2"/>
      <name val="Centaur"/>
      <family val="1"/>
    </font>
    <font>
      <sz val="10"/>
      <color theme="4" tint="-0.499984740745262"/>
      <name val="Centaur"/>
      <family val="1"/>
    </font>
    <font>
      <sz val="11"/>
      <color theme="1" tint="4.9989318521683403E-2"/>
      <name val="Centaur"/>
      <family val="1"/>
    </font>
    <font>
      <b/>
      <sz val="14"/>
      <color theme="0"/>
      <name val="Centaur"/>
      <family val="1"/>
    </font>
    <font>
      <b/>
      <sz val="16"/>
      <color theme="0"/>
      <name val="Centaur"/>
      <family val="1"/>
    </font>
    <font>
      <i/>
      <sz val="12"/>
      <color theme="0"/>
      <name val="Centaur"/>
      <family val="1"/>
    </font>
    <font>
      <sz val="10"/>
      <color theme="0"/>
      <name val="Centaur"/>
      <family val="1"/>
    </font>
    <font>
      <b/>
      <i/>
      <sz val="11"/>
      <color theme="0"/>
      <name val="Centaur"/>
      <family val="1"/>
    </font>
    <font>
      <sz val="10"/>
      <color rgb="FF0070C0"/>
      <name val="Centaur"/>
      <family val="1"/>
    </font>
    <font>
      <sz val="11"/>
      <color theme="0"/>
      <name val="Centaur"/>
      <family val="1"/>
    </font>
    <font>
      <b/>
      <sz val="14"/>
      <color theme="1"/>
      <name val="Centaur"/>
      <family val="1"/>
    </font>
    <font>
      <sz val="14"/>
      <color theme="1"/>
      <name val="Centaur"/>
      <family val="1"/>
    </font>
    <font>
      <sz val="11"/>
      <color theme="3" tint="0.39997558519241921"/>
      <name val="Centaur"/>
      <family val="1"/>
    </font>
    <font>
      <sz val="16"/>
      <color theme="3" tint="0.39997558519241921"/>
      <name val="Centaur"/>
      <family val="1"/>
    </font>
    <font>
      <sz val="14"/>
      <color theme="9" tint="-0.249977111117893"/>
      <name val="Centaur"/>
      <family val="1"/>
    </font>
    <font>
      <b/>
      <i/>
      <sz val="9"/>
      <color theme="9" tint="-0.249977111117893"/>
      <name val="Centaur"/>
      <family val="1"/>
    </font>
    <font>
      <b/>
      <sz val="14"/>
      <name val="Centaur"/>
      <family val="1"/>
    </font>
    <font>
      <sz val="10"/>
      <color rgb="FFFFC000"/>
      <name val="Centaur"/>
      <family val="1"/>
    </font>
    <font>
      <b/>
      <sz val="13"/>
      <color theme="9" tint="-0.249977111117893"/>
      <name val="Centaur"/>
      <family val="1"/>
    </font>
    <font>
      <b/>
      <i/>
      <sz val="10"/>
      <color theme="7" tint="-0.249977111117893"/>
      <name val="Centaur"/>
      <family val="1"/>
    </font>
    <font>
      <i/>
      <sz val="10"/>
      <color rgb="FFFF0000"/>
      <name val="Centaur"/>
      <family val="1"/>
    </font>
    <font>
      <i/>
      <sz val="11"/>
      <color rgb="FFFF0000"/>
      <name val="Centaur"/>
      <family val="1"/>
    </font>
    <font>
      <i/>
      <sz val="11"/>
      <name val="Centaur"/>
      <family val="1"/>
    </font>
    <font>
      <i/>
      <sz val="10"/>
      <name val="Centaur"/>
      <family val="1"/>
    </font>
    <font>
      <b/>
      <i/>
      <sz val="16"/>
      <color theme="1"/>
      <name val="Centaur"/>
      <family val="1"/>
    </font>
    <font>
      <b/>
      <i/>
      <sz val="16"/>
      <name val="Centaur"/>
      <family val="1"/>
    </font>
    <font>
      <b/>
      <sz val="16"/>
      <name val="Centaur"/>
      <family val="1"/>
    </font>
    <font>
      <sz val="14"/>
      <name val="Centaur"/>
      <family val="1"/>
    </font>
    <font>
      <b/>
      <sz val="11"/>
      <color rgb="FF002060"/>
      <name val="Centaur"/>
      <family val="1"/>
    </font>
    <font>
      <sz val="10"/>
      <color theme="0" tint="-0.14999847407452621"/>
      <name val="Centaur"/>
      <family val="1"/>
    </font>
    <font>
      <sz val="6"/>
      <color theme="0" tint="-0.14999847407452621"/>
      <name val="Centaur"/>
      <family val="1"/>
    </font>
    <font>
      <b/>
      <sz val="16"/>
      <color rgb="FFC00000"/>
      <name val="Centaur"/>
      <family val="1"/>
    </font>
    <font>
      <b/>
      <u/>
      <sz val="10"/>
      <color theme="1"/>
      <name val="Centaur"/>
      <family val="1"/>
    </font>
    <font>
      <sz val="8"/>
      <color indexed="81"/>
      <name val="Tahoma"/>
      <family val="2"/>
      <charset val="162"/>
    </font>
    <font>
      <b/>
      <sz val="8"/>
      <color indexed="81"/>
      <name val="Tahoma"/>
      <family val="2"/>
      <charset val="162"/>
    </font>
    <font>
      <sz val="12"/>
      <color rgb="FFFFC000"/>
      <name val="Centaur"/>
      <family val="1"/>
    </font>
    <font>
      <b/>
      <i/>
      <sz val="12"/>
      <color theme="1"/>
      <name val="Centaur"/>
      <family val="1"/>
    </font>
    <font>
      <i/>
      <sz val="12"/>
      <color theme="1"/>
      <name val="Centaur"/>
      <family val="1"/>
    </font>
    <font>
      <b/>
      <i/>
      <sz val="11"/>
      <color theme="0" tint="-0.499984740745262"/>
      <name val="Centaur"/>
      <family val="1"/>
    </font>
    <font>
      <sz val="11"/>
      <color theme="1"/>
      <name val="Bookman Old Style"/>
      <family val="1"/>
      <charset val="162"/>
    </font>
    <font>
      <sz val="16"/>
      <color theme="1"/>
      <name val="Centaur"/>
      <family val="1"/>
    </font>
    <font>
      <b/>
      <u val="singleAccounting"/>
      <sz val="14"/>
      <color theme="0"/>
      <name val="Centaur"/>
      <family val="1"/>
    </font>
    <font>
      <b/>
      <sz val="10"/>
      <color rgb="FF7030A0"/>
      <name val="Centaur"/>
      <family val="1"/>
    </font>
    <font>
      <b/>
      <sz val="11"/>
      <color rgb="FF7030A0"/>
      <name val="Centaur"/>
      <family val="1"/>
    </font>
    <font>
      <sz val="16"/>
      <color theme="0"/>
      <name val="Centaur"/>
      <family val="1"/>
    </font>
    <font>
      <sz val="14"/>
      <color theme="0"/>
      <name val="Centaur"/>
      <family val="1"/>
    </font>
    <font>
      <b/>
      <u val="singleAccounting"/>
      <sz val="16"/>
      <color theme="0"/>
      <name val="Centaur"/>
      <family val="1"/>
    </font>
    <font>
      <b/>
      <sz val="8"/>
      <color rgb="FF00B0F0"/>
      <name val="Centaur"/>
      <family val="1"/>
    </font>
    <font>
      <b/>
      <i/>
      <sz val="8"/>
      <color rgb="FF00B0F0"/>
      <name val="Centaur"/>
      <family val="1"/>
    </font>
    <font>
      <sz val="10"/>
      <color rgb="FF00B0F0"/>
      <name val="Centaur"/>
      <family val="1"/>
    </font>
    <font>
      <b/>
      <i/>
      <sz val="10"/>
      <color rgb="FF0070C0"/>
      <name val="Centaur"/>
      <family val="1"/>
    </font>
    <font>
      <b/>
      <sz val="10"/>
      <color rgb="FF0070C0"/>
      <name val="Centaur"/>
      <family val="1"/>
    </font>
    <font>
      <i/>
      <sz val="12"/>
      <color rgb="FFFFC000"/>
      <name val="Centaur"/>
      <family val="1"/>
    </font>
    <font>
      <sz val="11"/>
      <color rgb="FFFFC000"/>
      <name val="Centaur"/>
      <family val="1"/>
    </font>
    <font>
      <b/>
      <sz val="11"/>
      <color theme="0"/>
      <name val="Bookman Old Style"/>
      <family val="1"/>
      <charset val="162"/>
    </font>
    <font>
      <sz val="11"/>
      <color theme="0"/>
      <name val="Bookman Old Style"/>
      <family val="1"/>
      <charset val="162"/>
    </font>
    <font>
      <b/>
      <i/>
      <sz val="12"/>
      <color rgb="FFFF0000"/>
      <name val="Centaur"/>
      <family val="1"/>
    </font>
    <font>
      <b/>
      <sz val="14"/>
      <color rgb="FF000000"/>
      <name val="Times New Roman"/>
      <family val="1"/>
      <charset val="162"/>
    </font>
    <font>
      <b/>
      <sz val="14"/>
      <color rgb="FF000000"/>
      <name val="Centaur"/>
      <family val="1"/>
    </font>
    <font>
      <sz val="14"/>
      <color theme="1"/>
      <name val="Arial Tur"/>
      <charset val="162"/>
    </font>
    <font>
      <b/>
      <sz val="12"/>
      <color rgb="FFFF0000"/>
      <name val="Centaur"/>
      <family val="1"/>
    </font>
    <font>
      <b/>
      <sz val="14"/>
      <color theme="9" tint="-0.249977111117893"/>
      <name val="Centaur"/>
      <family val="1"/>
    </font>
    <font>
      <b/>
      <sz val="14"/>
      <color rgb="FFC00000"/>
      <name val="Centaur"/>
      <family val="1"/>
    </font>
    <font>
      <b/>
      <vertAlign val="subscript"/>
      <sz val="12"/>
      <name val="Centaur"/>
      <family val="1"/>
    </font>
    <font>
      <sz val="10"/>
      <color indexed="10"/>
      <name val="Centaur"/>
      <family val="1"/>
    </font>
    <font>
      <vertAlign val="subscript"/>
      <sz val="12"/>
      <name val="Centaur"/>
      <family val="1"/>
    </font>
    <font>
      <b/>
      <i/>
      <sz val="14"/>
      <color theme="0"/>
      <name val="Centaur"/>
      <family val="1"/>
    </font>
    <font>
      <b/>
      <sz val="20"/>
      <color theme="0"/>
      <name val="Centaur"/>
      <family val="1"/>
    </font>
    <font>
      <sz val="14"/>
      <color rgb="FFFF0000"/>
      <name val="Centaur"/>
      <family val="1"/>
    </font>
    <font>
      <sz val="11"/>
      <color theme="1"/>
      <name val="Arial"/>
      <family val="2"/>
      <charset val="162"/>
    </font>
    <font>
      <u/>
      <sz val="11"/>
      <color theme="10"/>
      <name val="Calibri"/>
      <family val="2"/>
      <charset val="162"/>
      <scheme val="minor"/>
    </font>
    <font>
      <u/>
      <sz val="11"/>
      <color theme="10"/>
      <name val="Centaur"/>
      <family val="1"/>
    </font>
    <font>
      <b/>
      <sz val="28"/>
      <color theme="0"/>
      <name val="Centaur"/>
      <family val="1"/>
    </font>
    <font>
      <sz val="28"/>
      <color theme="1"/>
      <name val="Centaur"/>
      <family val="1"/>
    </font>
    <font>
      <u/>
      <sz val="11"/>
      <color rgb="FFFF0000"/>
      <name val="Centaur"/>
      <family val="1"/>
    </font>
    <font>
      <b/>
      <i/>
      <sz val="14"/>
      <color rgb="FFFFFF00"/>
      <name val="Bookman Old Style"/>
      <family val="1"/>
    </font>
    <font>
      <u/>
      <sz val="14"/>
      <color theme="1" tint="4.9989318521683403E-2"/>
      <name val="Centaur"/>
      <family val="1"/>
    </font>
    <font>
      <sz val="10"/>
      <color theme="9" tint="-0.499984740745262"/>
      <name val="Centaur"/>
      <family val="1"/>
    </font>
  </fonts>
  <fills count="3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FFFCC"/>
        <bgColor indexed="64"/>
      </patternFill>
    </fill>
    <fill>
      <patternFill patternType="solid">
        <fgColor rgb="FFCCFFCC"/>
        <bgColor indexed="64"/>
      </patternFill>
    </fill>
    <fill>
      <patternFill patternType="solid">
        <fgColor indexed="42"/>
        <bgColor indexed="64"/>
      </patternFill>
    </fill>
    <fill>
      <patternFill patternType="solid">
        <fgColor theme="1" tint="4.9989318521683403E-2"/>
        <bgColor indexed="64"/>
      </patternFill>
    </fill>
    <fill>
      <patternFill patternType="solid">
        <fgColor theme="9" tint="0.39997558519241921"/>
        <bgColor indexed="64"/>
      </patternFill>
    </fill>
    <fill>
      <patternFill patternType="solid">
        <fgColor theme="1"/>
        <bgColor indexed="64"/>
      </patternFill>
    </fill>
    <fill>
      <patternFill patternType="solid">
        <fgColor theme="1" tint="0.249977111117893"/>
        <bgColor indexed="64"/>
      </patternFill>
    </fill>
    <fill>
      <patternFill patternType="solid">
        <fgColor indexed="9"/>
        <bgColor indexed="64"/>
      </patternFill>
    </fill>
    <fill>
      <patternFill patternType="solid">
        <fgColor theme="1" tint="0.34998626667073579"/>
        <bgColor indexed="64"/>
      </patternFill>
    </fill>
    <fill>
      <patternFill patternType="solid">
        <fgColor theme="1" tint="0.499984740745262"/>
        <bgColor indexed="64"/>
      </patternFill>
    </fill>
    <fill>
      <patternFill patternType="solid">
        <fgColor theme="4" tint="0.79998168889431442"/>
        <bgColor indexed="64"/>
      </patternFill>
    </fill>
    <fill>
      <patternFill patternType="solid">
        <fgColor rgb="FFFBF6D1"/>
        <bgColor indexed="64"/>
      </patternFill>
    </fill>
    <fill>
      <patternFill patternType="solid">
        <fgColor theme="0" tint="-0.34998626667073579"/>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theme="9" tint="-0.499984740745262"/>
        <bgColor indexed="64"/>
      </patternFill>
    </fill>
    <fill>
      <patternFill patternType="solid">
        <fgColor theme="0"/>
      </patternFill>
    </fill>
    <fill>
      <patternFill patternType="solid">
        <fgColor theme="0"/>
        <bgColor indexed="9"/>
      </patternFill>
    </fill>
    <fill>
      <patternFill patternType="solid">
        <fgColor theme="6" tint="0.59999389629810485"/>
        <bgColor indexed="64"/>
      </patternFill>
    </fill>
    <fill>
      <patternFill patternType="solid">
        <fgColor rgb="FF00B0F0"/>
        <bgColor indexed="64"/>
      </patternFill>
    </fill>
    <fill>
      <patternFill patternType="solid">
        <fgColor rgb="FFE1E1DC"/>
        <bgColor indexed="64"/>
      </patternFill>
    </fill>
    <fill>
      <patternFill patternType="solid">
        <fgColor rgb="FFC00000"/>
        <bgColor indexed="64"/>
      </patternFill>
    </fill>
    <fill>
      <patternFill patternType="solid">
        <fgColor theme="0" tint="-0.249977111117893"/>
        <bgColor indexed="64"/>
      </patternFill>
    </fill>
    <fill>
      <patternFill patternType="solid">
        <fgColor theme="0" tint="-0.14996795556505021"/>
        <bgColor indexed="64"/>
      </patternFill>
    </fill>
    <fill>
      <patternFill patternType="solid">
        <fgColor theme="9" tint="-0.249977111117893"/>
        <bgColor indexed="64"/>
      </patternFill>
    </fill>
    <fill>
      <patternFill patternType="solid">
        <fgColor indexed="2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7"/>
        <bgColor indexed="64"/>
      </patternFill>
    </fill>
  </fills>
  <borders count="365">
    <border>
      <left/>
      <right/>
      <top/>
      <bottom/>
      <diagonal/>
    </border>
    <border>
      <left/>
      <right/>
      <top/>
      <bottom style="medium">
        <color indexed="64"/>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right/>
      <top/>
      <bottom style="thin">
        <color indexed="64"/>
      </bottom>
      <diagonal/>
    </border>
    <border>
      <left/>
      <right/>
      <top style="medium">
        <color indexed="64"/>
      </top>
      <bottom/>
      <diagonal/>
    </border>
    <border>
      <left style="thin">
        <color indexed="64"/>
      </left>
      <right/>
      <top style="medium">
        <color indexed="64"/>
      </top>
      <bottom/>
      <diagonal/>
    </border>
    <border>
      <left style="thin">
        <color indexed="64"/>
      </left>
      <right/>
      <top/>
      <bottom style="medium">
        <color indexed="64"/>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style="thin">
        <color indexed="64"/>
      </bottom>
      <diagonal/>
    </border>
    <border>
      <left/>
      <right/>
      <top style="hair">
        <color indexed="64"/>
      </top>
      <bottom style="hair">
        <color indexed="64"/>
      </bottom>
      <diagonal/>
    </border>
    <border>
      <left/>
      <right style="medium">
        <color indexed="64"/>
      </right>
      <top style="hair">
        <color indexed="64"/>
      </top>
      <bottom style="hair">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right/>
      <top/>
      <bottom style="thick">
        <color theme="9" tint="-0.24994659260841701"/>
      </bottom>
      <diagonal/>
    </border>
    <border>
      <left/>
      <right/>
      <top/>
      <bottom style="hair">
        <color indexed="64"/>
      </bottom>
      <diagonal/>
    </border>
    <border>
      <left style="thin">
        <color indexed="64"/>
      </left>
      <right style="thin">
        <color indexed="64"/>
      </right>
      <top style="medium">
        <color indexed="64"/>
      </top>
      <bottom style="hair">
        <color indexed="64"/>
      </bottom>
      <diagonal/>
    </border>
    <border>
      <left/>
      <right style="thin">
        <color indexed="64"/>
      </right>
      <top style="medium">
        <color indexed="64"/>
      </top>
      <bottom style="hair">
        <color indexed="64"/>
      </bottom>
      <diagonal/>
    </border>
    <border>
      <left style="thin">
        <color indexed="64"/>
      </left>
      <right/>
      <top/>
      <bottom style="hair">
        <color indexed="64"/>
      </bottom>
      <diagonal/>
    </border>
    <border>
      <left/>
      <right style="thin">
        <color indexed="64"/>
      </right>
      <top/>
      <bottom style="hair">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theme="9" tint="0.39994506668294322"/>
      </left>
      <right style="thin">
        <color theme="9" tint="0.39994506668294322"/>
      </right>
      <top style="thin">
        <color theme="9" tint="0.39994506668294322"/>
      </top>
      <bottom style="thin">
        <color theme="9" tint="0.39994506668294322"/>
      </bottom>
      <diagonal/>
    </border>
    <border>
      <left style="thin">
        <color theme="9" tint="0.39994506668294322"/>
      </left>
      <right style="thin">
        <color theme="9" tint="0.39994506668294322"/>
      </right>
      <top/>
      <bottom style="thin">
        <color theme="9" tint="0.39994506668294322"/>
      </bottom>
      <diagonal/>
    </border>
    <border>
      <left style="medium">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style="medium">
        <color indexed="64"/>
      </right>
      <top style="hair">
        <color indexed="64"/>
      </top>
      <bottom/>
      <diagonal/>
    </border>
    <border>
      <left style="medium">
        <color indexed="64"/>
      </left>
      <right style="thin">
        <color indexed="64"/>
      </right>
      <top style="hair">
        <color indexed="64"/>
      </top>
      <bottom style="thin">
        <color indexed="64"/>
      </bottom>
      <diagonal/>
    </border>
    <border>
      <left style="thin">
        <color indexed="64"/>
      </left>
      <right style="thin">
        <color indexed="64"/>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style="hair">
        <color indexed="64"/>
      </top>
      <bottom style="medium">
        <color indexed="64"/>
      </bottom>
      <diagonal/>
    </border>
    <border>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right/>
      <top style="hair">
        <color indexed="64"/>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hair">
        <color indexed="64"/>
      </top>
      <bottom/>
      <diagonal/>
    </border>
    <border>
      <left style="thin">
        <color indexed="64"/>
      </left>
      <right/>
      <top style="hair">
        <color indexed="64"/>
      </top>
      <bottom/>
      <diagonal/>
    </border>
    <border>
      <left/>
      <right style="medium">
        <color indexed="64"/>
      </right>
      <top/>
      <bottom style="hair">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thin">
        <color indexed="64"/>
      </right>
      <top style="medium">
        <color indexed="64"/>
      </top>
      <bottom/>
      <diagonal/>
    </border>
    <border>
      <left style="thin">
        <color indexed="64"/>
      </left>
      <right/>
      <top style="medium">
        <color indexed="64"/>
      </top>
      <bottom style="medium">
        <color indexed="64"/>
      </bottom>
      <diagonal/>
    </border>
    <border>
      <left style="medium">
        <color indexed="64"/>
      </left>
      <right/>
      <top style="medium">
        <color indexed="64"/>
      </top>
      <bottom style="thin">
        <color indexed="64"/>
      </bottom>
      <diagonal/>
    </border>
    <border>
      <left/>
      <right style="thin">
        <color theme="9" tint="-0.24994659260841701"/>
      </right>
      <top/>
      <bottom style="thick">
        <color theme="9" tint="-0.24994659260841701"/>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right/>
      <top/>
      <bottom style="thick">
        <color theme="3" tint="0.39994506668294322"/>
      </bottom>
      <diagonal/>
    </border>
    <border>
      <left/>
      <right/>
      <top style="hair">
        <color theme="3" tint="0.39991454817346722"/>
      </top>
      <bottom style="hair">
        <color rgb="FFC00000"/>
      </bottom>
      <diagonal/>
    </border>
    <border>
      <left style="hair">
        <color theme="3" tint="0.39988402966399123"/>
      </left>
      <right/>
      <top style="hair">
        <color theme="3" tint="0.39991454817346722"/>
      </top>
      <bottom style="hair">
        <color rgb="FFC00000"/>
      </bottom>
      <diagonal/>
    </border>
    <border>
      <left/>
      <right style="hair">
        <color theme="3" tint="0.39988402966399123"/>
      </right>
      <top style="hair">
        <color theme="3" tint="0.39991454817346722"/>
      </top>
      <bottom style="hair">
        <color rgb="FFC00000"/>
      </bottom>
      <diagonal/>
    </border>
    <border>
      <left style="hair">
        <color theme="3" tint="0.39988402966399123"/>
      </left>
      <right/>
      <top/>
      <bottom/>
      <diagonal/>
    </border>
    <border>
      <left/>
      <right style="hair">
        <color theme="3" tint="0.39988402966399123"/>
      </right>
      <top style="hair">
        <color rgb="FFC00000"/>
      </top>
      <bottom/>
      <diagonal/>
    </border>
    <border>
      <left/>
      <right style="hair">
        <color theme="3" tint="0.39988402966399123"/>
      </right>
      <top/>
      <bottom/>
      <diagonal/>
    </border>
    <border>
      <left style="hair">
        <color theme="3" tint="0.39988402966399123"/>
      </left>
      <right/>
      <top/>
      <bottom style="hair">
        <color auto="1"/>
      </bottom>
      <diagonal/>
    </border>
    <border>
      <left/>
      <right style="hair">
        <color theme="3" tint="0.39988402966399123"/>
      </right>
      <top/>
      <bottom style="hair">
        <color rgb="FFC00000"/>
      </bottom>
      <diagonal/>
    </border>
    <border>
      <left/>
      <right/>
      <top/>
      <bottom style="thin">
        <color theme="0" tint="-0.34998626667073579"/>
      </bottom>
      <diagonal/>
    </border>
    <border>
      <left/>
      <right style="thin">
        <color indexed="64"/>
      </right>
      <top style="medium">
        <color indexed="64"/>
      </top>
      <bottom style="medium">
        <color indexed="64"/>
      </bottom>
      <diagonal/>
    </border>
    <border>
      <left style="thin">
        <color theme="0" tint="-0.14996795556505021"/>
      </left>
      <right/>
      <top/>
      <bottom/>
      <diagonal/>
    </border>
    <border>
      <left style="thin">
        <color theme="0" tint="-0.14993743705557422"/>
      </left>
      <right/>
      <top/>
      <bottom/>
      <diagonal/>
    </border>
    <border>
      <left style="thin">
        <color indexed="64"/>
      </left>
      <right/>
      <top style="medium">
        <color theme="0" tint="-0.24994659260841701"/>
      </top>
      <bottom style="double">
        <color indexed="64"/>
      </bottom>
      <diagonal/>
    </border>
    <border>
      <left style="thin">
        <color theme="0" tint="-0.24994659260841701"/>
      </left>
      <right style="thin">
        <color theme="0" tint="-0.24994659260841701"/>
      </right>
      <top style="medium">
        <color theme="0" tint="-0.24994659260841701"/>
      </top>
      <bottom style="double">
        <color indexed="64"/>
      </bottom>
      <diagonal/>
    </border>
    <border>
      <left style="medium">
        <color theme="0" tint="-0.24994659260841701"/>
      </left>
      <right/>
      <top style="medium">
        <color theme="0" tint="-0.24994659260841701"/>
      </top>
      <bottom style="double">
        <color indexed="64"/>
      </bottom>
      <diagonal/>
    </border>
    <border>
      <left style="thin">
        <color theme="0" tint="-0.24994659260841701"/>
      </left>
      <right style="medium">
        <color theme="0" tint="-0.24994659260841701"/>
      </right>
      <top style="medium">
        <color theme="0" tint="-0.24994659260841701"/>
      </top>
      <bottom style="double">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theme="0" tint="-0.24994659260841701"/>
      </left>
      <right style="thin">
        <color theme="0" tint="-0.24994659260841701"/>
      </right>
      <top style="double">
        <color indexed="64"/>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medium">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medium">
        <color theme="0" tint="-0.24994659260841701"/>
      </bottom>
      <diagonal/>
    </border>
    <border>
      <left style="thin">
        <color theme="0" tint="-0.24994659260841701"/>
      </left>
      <right style="medium">
        <color theme="0" tint="-0.24994659260841701"/>
      </right>
      <top style="thin">
        <color theme="0" tint="-0.24994659260841701"/>
      </top>
      <bottom style="medium">
        <color theme="0" tint="-0.24994659260841701"/>
      </bottom>
      <diagonal/>
    </border>
    <border>
      <left/>
      <right/>
      <top style="medium">
        <color theme="0" tint="-0.24994659260841701"/>
      </top>
      <bottom style="double">
        <color indexed="64"/>
      </bottom>
      <diagonal/>
    </border>
    <border>
      <left style="thin">
        <color theme="0" tint="-0.24994659260841701"/>
      </left>
      <right style="medium">
        <color theme="0" tint="-0.24994659260841701"/>
      </right>
      <top style="double">
        <color indexed="64"/>
      </top>
      <bottom style="thin">
        <color theme="0" tint="-0.24994659260841701"/>
      </bottom>
      <diagonal/>
    </border>
    <border>
      <left style="medium">
        <color theme="0" tint="-0.24994659260841701"/>
      </left>
      <right/>
      <top style="double">
        <color indexed="64"/>
      </top>
      <bottom style="thin">
        <color theme="0" tint="-0.24994659260841701"/>
      </bottom>
      <diagonal/>
    </border>
    <border>
      <left style="medium">
        <color theme="0" tint="-0.24994659260841701"/>
      </left>
      <right/>
      <top style="thin">
        <color theme="0" tint="-0.24994659260841701"/>
      </top>
      <bottom style="thin">
        <color theme="0" tint="-0.24994659260841701"/>
      </bottom>
      <diagonal/>
    </border>
    <border>
      <left style="medium">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medium">
        <color theme="0" tint="-0.24994659260841701"/>
      </right>
      <top style="thin">
        <color theme="0" tint="-0.24994659260841701"/>
      </top>
      <bottom/>
      <diagonal/>
    </border>
    <border>
      <left style="medium">
        <color theme="0" tint="-0.24994659260841701"/>
      </left>
      <right/>
      <top style="thin">
        <color theme="0" tint="-0.24994659260841701"/>
      </top>
      <bottom style="medium">
        <color theme="0" tint="-0.24994659260841701"/>
      </bottom>
      <diagonal/>
    </border>
    <border>
      <left style="medium">
        <color theme="0" tint="-0.24994659260841701"/>
      </left>
      <right/>
      <top style="medium">
        <color theme="0" tint="-0.24994659260841701"/>
      </top>
      <bottom/>
      <diagonal/>
    </border>
    <border>
      <left/>
      <right style="medium">
        <color theme="0" tint="-0.24994659260841701"/>
      </right>
      <top style="medium">
        <color theme="0" tint="-0.24994659260841701"/>
      </top>
      <bottom/>
      <diagonal/>
    </border>
    <border>
      <left style="medium">
        <color theme="0" tint="-0.24994659260841701"/>
      </left>
      <right style="thin">
        <color theme="0" tint="-0.24994659260841701"/>
      </right>
      <top style="medium">
        <color theme="0" tint="-0.24994659260841701"/>
      </top>
      <bottom style="medium">
        <color theme="0" tint="-0.24994659260841701"/>
      </bottom>
      <diagonal/>
    </border>
    <border>
      <left style="thin">
        <color theme="0" tint="-0.24994659260841701"/>
      </left>
      <right style="medium">
        <color theme="0" tint="-0.24994659260841701"/>
      </right>
      <top style="medium">
        <color theme="0" tint="-0.24994659260841701"/>
      </top>
      <bottom style="medium">
        <color theme="0" tint="-0.24994659260841701"/>
      </bottom>
      <diagonal/>
    </border>
    <border>
      <left style="medium">
        <color indexed="64"/>
      </left>
      <right/>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right style="medium">
        <color indexed="64"/>
      </right>
      <top/>
      <bottom style="thin">
        <color indexed="64"/>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right/>
      <top/>
      <bottom style="medium">
        <color theme="0" tint="-0.34998626667073579"/>
      </bottom>
      <diagonal/>
    </border>
    <border>
      <left/>
      <right/>
      <top/>
      <bottom style="medium">
        <color theme="0" tint="-0.24994659260841701"/>
      </bottom>
      <diagonal/>
    </border>
    <border>
      <left/>
      <right/>
      <top/>
      <bottom style="thick">
        <color theme="0" tint="-0.24994659260841701"/>
      </bottom>
      <diagonal/>
    </border>
    <border>
      <left/>
      <right/>
      <top style="thin">
        <color theme="0" tint="-0.499984740745262"/>
      </top>
      <bottom style="thin">
        <color theme="0" tint="-0.499984740745262"/>
      </bottom>
      <diagonal/>
    </border>
    <border>
      <left/>
      <right/>
      <top style="medium">
        <color theme="0" tint="-0.24994659260841701"/>
      </top>
      <bottom style="medium">
        <color theme="0" tint="-0.24994659260841701"/>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right style="thin">
        <color theme="0" tint="-0.14996795556505021"/>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93743705557422"/>
      </top>
      <bottom/>
      <diagonal/>
    </border>
    <border>
      <left/>
      <right style="thin">
        <color theme="0" tint="-0.14993743705557422"/>
      </right>
      <top/>
      <bottom/>
      <diagonal/>
    </border>
    <border>
      <left/>
      <right/>
      <top style="thin">
        <color theme="0" tint="-0.34998626667073579"/>
      </top>
      <bottom/>
      <diagonal/>
    </border>
    <border>
      <left/>
      <right/>
      <top style="thick">
        <color theme="0" tint="-0.24994659260841701"/>
      </top>
      <bottom/>
      <diagonal/>
    </border>
    <border>
      <left style="medium">
        <color theme="0" tint="-0.24994659260841701"/>
      </left>
      <right/>
      <top style="thick">
        <color theme="0" tint="-0.24994659260841701"/>
      </top>
      <bottom/>
      <diagonal/>
    </border>
    <border>
      <left/>
      <right style="medium">
        <color theme="0" tint="-0.24994659260841701"/>
      </right>
      <top style="thick">
        <color theme="0" tint="-0.24994659260841701"/>
      </top>
      <bottom/>
      <diagonal/>
    </border>
    <border>
      <left style="medium">
        <color theme="0" tint="-0.24994659260841701"/>
      </left>
      <right/>
      <top/>
      <bottom/>
      <diagonal/>
    </border>
    <border>
      <left/>
      <right style="medium">
        <color theme="0" tint="-0.24994659260841701"/>
      </right>
      <top/>
      <bottom/>
      <diagonal/>
    </border>
    <border>
      <left style="medium">
        <color theme="0" tint="-0.24994659260841701"/>
      </left>
      <right/>
      <top/>
      <bottom style="thin">
        <color theme="0" tint="-0.24994659260841701"/>
      </bottom>
      <diagonal/>
    </border>
    <border>
      <left/>
      <right style="medium">
        <color theme="0" tint="-0.24994659260841701"/>
      </right>
      <top/>
      <bottom style="thin">
        <color theme="0" tint="-0.24994659260841701"/>
      </bottom>
      <diagonal/>
    </border>
    <border>
      <left/>
      <right/>
      <top/>
      <bottom style="medium">
        <color theme="9" tint="-0.24994659260841701"/>
      </bottom>
      <diagonal/>
    </border>
    <border>
      <left style="thin">
        <color theme="0" tint="-0.499984740745262"/>
      </left>
      <right/>
      <top style="thin">
        <color theme="0" tint="-0.499984740745262"/>
      </top>
      <bottom style="double">
        <color theme="0" tint="-0.499984740745262"/>
      </bottom>
      <diagonal/>
    </border>
    <border>
      <left/>
      <right/>
      <top style="thin">
        <color theme="0" tint="-0.499984740745262"/>
      </top>
      <bottom style="double">
        <color theme="0" tint="-0.499984740745262"/>
      </bottom>
      <diagonal/>
    </border>
    <border>
      <left/>
      <right style="thin">
        <color theme="0" tint="-0.499984740745262"/>
      </right>
      <top style="thin">
        <color theme="0" tint="-0.499984740745262"/>
      </top>
      <bottom style="double">
        <color theme="0" tint="-0.499984740745262"/>
      </bottom>
      <diagonal/>
    </border>
    <border>
      <left style="medium">
        <color theme="0" tint="-0.14996795556505021"/>
      </left>
      <right style="medium">
        <color theme="0" tint="-0.14996795556505021"/>
      </right>
      <top/>
      <bottom/>
      <diagonal/>
    </border>
    <border>
      <left style="medium">
        <color theme="0" tint="-0.14996795556505021"/>
      </left>
      <right style="medium">
        <color theme="0" tint="-0.14996795556505021"/>
      </right>
      <top style="hair">
        <color indexed="64"/>
      </top>
      <bottom style="thin">
        <color indexed="64"/>
      </bottom>
      <diagonal/>
    </border>
    <border>
      <left style="medium">
        <color theme="0" tint="-0.14996795556505021"/>
      </left>
      <right style="medium">
        <color theme="0" tint="-0.14996795556505021"/>
      </right>
      <top/>
      <bottom style="medium">
        <color theme="0" tint="-0.14996795556505021"/>
      </bottom>
      <diagonal/>
    </border>
    <border>
      <left style="thin">
        <color theme="0" tint="-0.34998626667073579"/>
      </left>
      <right/>
      <top style="medium">
        <color theme="0" tint="-0.34998626667073579"/>
      </top>
      <bottom/>
      <diagonal/>
    </border>
    <border>
      <left style="thin">
        <color theme="0" tint="-0.34998626667073579"/>
      </left>
      <right/>
      <top/>
      <bottom/>
      <diagonal/>
    </border>
    <border>
      <left/>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right/>
      <top style="medium">
        <color theme="0" tint="-0.34998626667073579"/>
      </top>
      <bottom style="medium">
        <color theme="0" tint="-0.34998626667073579"/>
      </bottom>
      <diagonal/>
    </border>
    <border>
      <left style="medium">
        <color theme="0" tint="-0.24994659260841701"/>
      </left>
      <right/>
      <top style="medium">
        <color theme="0" tint="-0.24994659260841701"/>
      </top>
      <bottom style="medium">
        <color theme="0" tint="-0.24994659260841701"/>
      </bottom>
      <diagonal/>
    </border>
    <border>
      <left style="thin">
        <color indexed="64"/>
      </left>
      <right/>
      <top style="medium">
        <color theme="0" tint="-0.24994659260841701"/>
      </top>
      <bottom style="medium">
        <color theme="0" tint="-0.24994659260841701"/>
      </bottom>
      <diagonal/>
    </border>
    <border>
      <left/>
      <right style="thin">
        <color indexed="64"/>
      </right>
      <top style="medium">
        <color theme="0" tint="-0.24994659260841701"/>
      </top>
      <bottom style="medium">
        <color theme="0" tint="-0.24994659260841701"/>
      </bottom>
      <diagonal/>
    </border>
    <border>
      <left/>
      <right style="medium">
        <color theme="0" tint="-0.24994659260841701"/>
      </right>
      <top style="medium">
        <color theme="0" tint="-0.24994659260841701"/>
      </top>
      <bottom style="medium">
        <color theme="0" tint="-0.24994659260841701"/>
      </bottom>
      <diagonal/>
    </border>
    <border>
      <left style="thin">
        <color theme="0" tint="-0.24994659260841701"/>
      </left>
      <right style="thin">
        <color theme="0" tint="-0.24994659260841701"/>
      </right>
      <top style="medium">
        <color indexed="64"/>
      </top>
      <bottom style="thin">
        <color rgb="FFC8C3BE"/>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style="hair">
        <color indexed="64"/>
      </top>
      <bottom style="thin">
        <color indexed="64"/>
      </bottom>
      <diagonal/>
    </border>
    <border>
      <left style="thin">
        <color theme="0" tint="-0.24994659260841701"/>
      </left>
      <right style="thin">
        <color theme="0" tint="-0.24994659260841701"/>
      </right>
      <top style="hair">
        <color indexed="64"/>
      </top>
      <bottom/>
      <diagonal/>
    </border>
    <border>
      <left style="thick">
        <color theme="0" tint="-0.1498764000366222"/>
      </left>
      <right/>
      <top style="thick">
        <color theme="0" tint="-0.1498764000366222"/>
      </top>
      <bottom style="medium">
        <color indexed="64"/>
      </bottom>
      <diagonal/>
    </border>
    <border>
      <left style="thin">
        <color theme="0" tint="-0.14993743705557422"/>
      </left>
      <right/>
      <top style="thick">
        <color theme="0" tint="-0.1498764000366222"/>
      </top>
      <bottom style="medium">
        <color indexed="64"/>
      </bottom>
      <diagonal/>
    </border>
    <border>
      <left/>
      <right style="thin">
        <color theme="0" tint="-0.14990691854609822"/>
      </right>
      <top style="thick">
        <color theme="0" tint="-0.1498764000366222"/>
      </top>
      <bottom style="medium">
        <color indexed="64"/>
      </bottom>
      <diagonal/>
    </border>
    <border>
      <left style="thin">
        <color theme="0" tint="-0.14990691854609822"/>
      </left>
      <right style="thin">
        <color theme="0" tint="-0.14990691854609822"/>
      </right>
      <top style="thick">
        <color theme="0" tint="-0.1498764000366222"/>
      </top>
      <bottom style="medium">
        <color indexed="64"/>
      </bottom>
      <diagonal/>
    </border>
    <border>
      <left style="thin">
        <color theme="0" tint="-0.14990691854609822"/>
      </left>
      <right/>
      <top style="thick">
        <color theme="0" tint="-0.1498764000366222"/>
      </top>
      <bottom style="medium">
        <color indexed="64"/>
      </bottom>
      <diagonal/>
    </border>
    <border>
      <left style="thin">
        <color theme="0" tint="-0.14990691854609822"/>
      </left>
      <right style="thick">
        <color theme="0" tint="-0.1498764000366222"/>
      </right>
      <top style="thick">
        <color theme="0" tint="-0.1498764000366222"/>
      </top>
      <bottom style="medium">
        <color indexed="64"/>
      </bottom>
      <diagonal/>
    </border>
    <border>
      <left style="thick">
        <color theme="0" tint="-0.1498764000366222"/>
      </left>
      <right/>
      <top style="thin">
        <color rgb="FFC8C3BE"/>
      </top>
      <bottom style="thin">
        <color rgb="FFC8C3BE"/>
      </bottom>
      <diagonal/>
    </border>
    <border>
      <left style="thin">
        <color theme="0" tint="-0.24994659260841701"/>
      </left>
      <right style="thick">
        <color theme="0" tint="-0.1498764000366222"/>
      </right>
      <top style="medium">
        <color indexed="64"/>
      </top>
      <bottom style="thin">
        <color rgb="FFC8C3BE"/>
      </bottom>
      <diagonal/>
    </border>
    <border>
      <left style="thick">
        <color theme="0" tint="-0.1498764000366222"/>
      </left>
      <right/>
      <top style="thin">
        <color rgb="FFC8C3BE"/>
      </top>
      <bottom/>
      <diagonal/>
    </border>
    <border>
      <left style="thin">
        <color theme="0" tint="-0.24994659260841701"/>
      </left>
      <right style="thick">
        <color theme="0" tint="-0.1498764000366222"/>
      </right>
      <top/>
      <bottom/>
      <diagonal/>
    </border>
    <border>
      <left style="thick">
        <color theme="0" tint="-0.1498764000366222"/>
      </left>
      <right/>
      <top/>
      <bottom/>
      <diagonal/>
    </border>
    <border>
      <left style="thick">
        <color theme="0" tint="-0.1498764000366222"/>
      </left>
      <right/>
      <top style="hair">
        <color indexed="64"/>
      </top>
      <bottom style="thin">
        <color indexed="64"/>
      </bottom>
      <diagonal/>
    </border>
    <border>
      <left style="thin">
        <color theme="0" tint="-0.24994659260841701"/>
      </left>
      <right style="thick">
        <color theme="0" tint="-0.1498764000366222"/>
      </right>
      <top style="hair">
        <color indexed="64"/>
      </top>
      <bottom style="thin">
        <color indexed="64"/>
      </bottom>
      <diagonal/>
    </border>
    <border>
      <left style="thick">
        <color theme="0" tint="-0.1498764000366222"/>
      </left>
      <right/>
      <top style="hair">
        <color indexed="64"/>
      </top>
      <bottom/>
      <diagonal/>
    </border>
    <border>
      <left style="thin">
        <color theme="0" tint="-0.24994659260841701"/>
      </left>
      <right style="thick">
        <color theme="0" tint="-0.1498764000366222"/>
      </right>
      <top style="hair">
        <color indexed="64"/>
      </top>
      <bottom/>
      <diagonal/>
    </border>
    <border>
      <left style="thick">
        <color theme="0" tint="-0.1498764000366222"/>
      </left>
      <right/>
      <top style="thin">
        <color rgb="FF000000"/>
      </top>
      <bottom style="thick">
        <color theme="0" tint="-0.1498764000366222"/>
      </bottom>
      <diagonal/>
    </border>
    <border>
      <left style="thin">
        <color rgb="FFC8C3BE"/>
      </left>
      <right style="thin">
        <color theme="0" tint="-0.24994659260841701"/>
      </right>
      <top style="thin">
        <color rgb="FF000000"/>
      </top>
      <bottom style="thick">
        <color theme="0" tint="-0.1498764000366222"/>
      </bottom>
      <diagonal/>
    </border>
    <border>
      <left style="thin">
        <color rgb="FFC8C3BE"/>
      </left>
      <right style="thick">
        <color theme="0" tint="-0.1498764000366222"/>
      </right>
      <top style="thin">
        <color rgb="FF000000"/>
      </top>
      <bottom style="thick">
        <color theme="0" tint="-0.1498764000366222"/>
      </bottom>
      <diagonal/>
    </border>
    <border>
      <left style="thin">
        <color theme="9" tint="-0.24994659260841701"/>
      </left>
      <right/>
      <top style="thin">
        <color theme="9" tint="-0.24994659260841701"/>
      </top>
      <bottom style="thin">
        <color theme="9" tint="-0.24994659260841701"/>
      </bottom>
      <diagonal/>
    </border>
    <border>
      <left/>
      <right/>
      <top style="thin">
        <color theme="9" tint="-0.24994659260841701"/>
      </top>
      <bottom style="thin">
        <color theme="9" tint="-0.24994659260841701"/>
      </bottom>
      <diagonal/>
    </border>
    <border>
      <left/>
      <right style="thin">
        <color theme="9" tint="-0.24994659260841701"/>
      </right>
      <top style="thin">
        <color theme="9" tint="-0.24994659260841701"/>
      </top>
      <bottom style="thin">
        <color theme="9" tint="-0.24994659260841701"/>
      </bottom>
      <diagonal/>
    </border>
    <border>
      <left style="thick">
        <color theme="0" tint="-0.1498458815271462"/>
      </left>
      <right/>
      <top style="thick">
        <color theme="0" tint="-0.1498458815271462"/>
      </top>
      <bottom/>
      <diagonal/>
    </border>
    <border>
      <left/>
      <right/>
      <top style="thick">
        <color theme="0" tint="-0.1498458815271462"/>
      </top>
      <bottom/>
      <diagonal/>
    </border>
    <border>
      <left/>
      <right style="thick">
        <color theme="0" tint="-0.1498458815271462"/>
      </right>
      <top style="thick">
        <color theme="0" tint="-0.1498458815271462"/>
      </top>
      <bottom/>
      <diagonal/>
    </border>
    <border>
      <left style="thick">
        <color theme="0" tint="-0.1498458815271462"/>
      </left>
      <right/>
      <top style="thick">
        <color theme="0" tint="-0.1498764000366222"/>
      </top>
      <bottom style="medium">
        <color indexed="64"/>
      </bottom>
      <diagonal/>
    </border>
    <border>
      <left style="thin">
        <color theme="0" tint="-0.14990691854609822"/>
      </left>
      <right style="thick">
        <color theme="0" tint="-0.1498458815271462"/>
      </right>
      <top style="thick">
        <color theme="0" tint="-0.1498764000366222"/>
      </top>
      <bottom style="medium">
        <color indexed="64"/>
      </bottom>
      <diagonal/>
    </border>
    <border>
      <left style="thick">
        <color theme="0" tint="-0.1498458815271462"/>
      </left>
      <right/>
      <top style="thin">
        <color rgb="FFC8C3BE"/>
      </top>
      <bottom style="thin">
        <color rgb="FFC8C3BE"/>
      </bottom>
      <diagonal/>
    </border>
    <border>
      <left style="thin">
        <color theme="0" tint="-0.24994659260841701"/>
      </left>
      <right style="thick">
        <color theme="0" tint="-0.1498458815271462"/>
      </right>
      <top style="medium">
        <color indexed="64"/>
      </top>
      <bottom style="thin">
        <color rgb="FFC8C3BE"/>
      </bottom>
      <diagonal/>
    </border>
    <border>
      <left style="thick">
        <color theme="0" tint="-0.1498458815271462"/>
      </left>
      <right/>
      <top style="thin">
        <color rgb="FFC8C3BE"/>
      </top>
      <bottom/>
      <diagonal/>
    </border>
    <border>
      <left style="thin">
        <color theme="0" tint="-0.24994659260841701"/>
      </left>
      <right style="thick">
        <color theme="0" tint="-0.1498458815271462"/>
      </right>
      <top/>
      <bottom/>
      <diagonal/>
    </border>
    <border>
      <left style="thick">
        <color theme="0" tint="-0.1498458815271462"/>
      </left>
      <right/>
      <top/>
      <bottom/>
      <diagonal/>
    </border>
    <border>
      <left style="thick">
        <color theme="0" tint="-0.1498458815271462"/>
      </left>
      <right/>
      <top style="hair">
        <color indexed="64"/>
      </top>
      <bottom style="thin">
        <color indexed="64"/>
      </bottom>
      <diagonal/>
    </border>
    <border>
      <left style="thin">
        <color theme="0" tint="-0.24994659260841701"/>
      </left>
      <right style="thick">
        <color theme="0" tint="-0.1498458815271462"/>
      </right>
      <top style="hair">
        <color indexed="64"/>
      </top>
      <bottom style="thin">
        <color indexed="64"/>
      </bottom>
      <diagonal/>
    </border>
    <border>
      <left style="thick">
        <color theme="0" tint="-0.1498458815271462"/>
      </left>
      <right/>
      <top style="hair">
        <color indexed="64"/>
      </top>
      <bottom/>
      <diagonal/>
    </border>
    <border>
      <left style="thin">
        <color theme="0" tint="-0.24994659260841701"/>
      </left>
      <right style="thick">
        <color theme="0" tint="-0.1498458815271462"/>
      </right>
      <top style="hair">
        <color indexed="64"/>
      </top>
      <bottom/>
      <diagonal/>
    </border>
    <border>
      <left style="thick">
        <color theme="0" tint="-0.1498458815271462"/>
      </left>
      <right/>
      <top style="thin">
        <color rgb="FF000000"/>
      </top>
      <bottom style="thick">
        <color theme="0" tint="-0.1498458815271462"/>
      </bottom>
      <diagonal/>
    </border>
    <border>
      <left style="thin">
        <color rgb="FFC8C3BE"/>
      </left>
      <right style="thin">
        <color theme="0" tint="-0.24994659260841701"/>
      </right>
      <top style="thin">
        <color rgb="FF000000"/>
      </top>
      <bottom style="thick">
        <color theme="0" tint="-0.1498458815271462"/>
      </bottom>
      <diagonal/>
    </border>
    <border>
      <left style="thin">
        <color rgb="FFC8C3BE"/>
      </left>
      <right style="thick">
        <color theme="0" tint="-0.1498458815271462"/>
      </right>
      <top style="thin">
        <color rgb="FF000000"/>
      </top>
      <bottom style="thick">
        <color theme="0" tint="-0.1498458815271462"/>
      </bottom>
      <diagonal/>
    </border>
    <border>
      <left style="medium">
        <color rgb="FFC8C3BE"/>
      </left>
      <right/>
      <top style="medium">
        <color rgb="FFC8C3BE"/>
      </top>
      <bottom style="thin">
        <color rgb="FFC8C3BE"/>
      </bottom>
      <diagonal/>
    </border>
    <border>
      <left/>
      <right/>
      <top style="medium">
        <color rgb="FFC8C3BE"/>
      </top>
      <bottom style="thin">
        <color rgb="FFC8C3BE"/>
      </bottom>
      <diagonal/>
    </border>
    <border>
      <left style="medium">
        <color theme="0" tint="-0.14996795556505021"/>
      </left>
      <right style="medium">
        <color theme="0" tint="-0.14996795556505021"/>
      </right>
      <top style="medium">
        <color rgb="FFC8C3BE"/>
      </top>
      <bottom style="thin">
        <color rgb="FFC8C3BE"/>
      </bottom>
      <diagonal/>
    </border>
    <border>
      <left/>
      <right style="medium">
        <color rgb="FFC8C3BE"/>
      </right>
      <top style="medium">
        <color rgb="FFC8C3BE"/>
      </top>
      <bottom style="thin">
        <color rgb="FFC8C3BE"/>
      </bottom>
      <diagonal/>
    </border>
    <border>
      <left style="medium">
        <color rgb="FFC8C3BE"/>
      </left>
      <right/>
      <top style="thin">
        <color rgb="FFC8C3BE"/>
      </top>
      <bottom/>
      <diagonal/>
    </border>
    <border>
      <left/>
      <right style="medium">
        <color rgb="FFC8C3BE"/>
      </right>
      <top/>
      <bottom/>
      <diagonal/>
    </border>
    <border>
      <left style="medium">
        <color rgb="FFC8C3BE"/>
      </left>
      <right/>
      <top/>
      <bottom/>
      <diagonal/>
    </border>
    <border>
      <left style="medium">
        <color rgb="FFC8C3BE"/>
      </left>
      <right/>
      <top style="hair">
        <color indexed="64"/>
      </top>
      <bottom style="thin">
        <color indexed="64"/>
      </bottom>
      <diagonal/>
    </border>
    <border>
      <left/>
      <right style="medium">
        <color rgb="FFC8C3BE"/>
      </right>
      <top style="hair">
        <color indexed="64"/>
      </top>
      <bottom style="thin">
        <color indexed="64"/>
      </bottom>
      <diagonal/>
    </border>
    <border>
      <left style="medium">
        <color rgb="FFC8C3BE"/>
      </left>
      <right/>
      <top style="hair">
        <color indexed="64"/>
      </top>
      <bottom/>
      <diagonal/>
    </border>
    <border>
      <left style="medium">
        <color rgb="FFC8C3BE"/>
      </left>
      <right/>
      <top style="thin">
        <color rgb="FF000000"/>
      </top>
      <bottom style="thin">
        <color indexed="64"/>
      </bottom>
      <diagonal/>
    </border>
    <border>
      <left/>
      <right style="medium">
        <color rgb="FFC8C3BE"/>
      </right>
      <top/>
      <bottom style="thin">
        <color indexed="64"/>
      </bottom>
      <diagonal/>
    </border>
    <border>
      <left style="medium">
        <color rgb="FFC8C3BE"/>
      </left>
      <right/>
      <top style="thin">
        <color rgb="FF000000"/>
      </top>
      <bottom style="medium">
        <color rgb="FFC8C3BE"/>
      </bottom>
      <diagonal/>
    </border>
    <border>
      <left/>
      <right/>
      <top/>
      <bottom style="medium">
        <color rgb="FFC8C3BE"/>
      </bottom>
      <diagonal/>
    </border>
    <border>
      <left style="medium">
        <color theme="0" tint="-0.14996795556505021"/>
      </left>
      <right style="medium">
        <color theme="0" tint="-0.14996795556505021"/>
      </right>
      <top/>
      <bottom style="medium">
        <color rgb="FFC8C3BE"/>
      </bottom>
      <diagonal/>
    </border>
    <border>
      <left/>
      <right style="medium">
        <color rgb="FFC8C3BE"/>
      </right>
      <top/>
      <bottom style="medium">
        <color rgb="FFC8C3BE"/>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right/>
      <top style="thin">
        <color theme="0" tint="-0.24994659260841701"/>
      </top>
      <bottom style="medium">
        <color theme="0" tint="-0.24994659260841701"/>
      </bottom>
      <diagonal/>
    </border>
    <border>
      <left style="thin">
        <color theme="0" tint="-0.24994659260841701"/>
      </left>
      <right/>
      <top style="thin">
        <color theme="0" tint="-0.34998626667073579"/>
      </top>
      <bottom style="thin">
        <color theme="0" tint="-0.34998626667073579"/>
      </bottom>
      <diagonal/>
    </border>
    <border>
      <left style="thin">
        <color theme="0" tint="-0.24994659260841701"/>
      </left>
      <right/>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style="thin">
        <color theme="0" tint="-0.34998626667073579"/>
      </right>
      <top/>
      <bottom/>
      <diagonal/>
    </border>
    <border>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24994659260841701"/>
      </top>
      <bottom style="thin">
        <color theme="0" tint="-0.24994659260841701"/>
      </bottom>
      <diagonal/>
    </border>
    <border>
      <left/>
      <right style="medium">
        <color theme="0" tint="-0.34998626667073579"/>
      </right>
      <top/>
      <bottom style="medium">
        <color theme="0" tint="-0.34998626667073579"/>
      </bottom>
      <diagonal/>
    </border>
    <border>
      <left style="thin">
        <color theme="0" tint="-0.34998626667073579"/>
      </left>
      <right/>
      <top style="thin">
        <color theme="0" tint="-0.34998626667073579"/>
      </top>
      <bottom style="double">
        <color theme="0" tint="-0.34998626667073579"/>
      </bottom>
      <diagonal/>
    </border>
    <border>
      <left/>
      <right/>
      <top style="thin">
        <color theme="0" tint="-0.34998626667073579"/>
      </top>
      <bottom style="double">
        <color theme="0" tint="-0.34998626667073579"/>
      </bottom>
      <diagonal/>
    </border>
    <border>
      <left/>
      <right style="thin">
        <color theme="0" tint="-0.34998626667073579"/>
      </right>
      <top style="thin">
        <color theme="0" tint="-0.34998626667073579"/>
      </top>
      <bottom style="double">
        <color theme="0" tint="-0.34998626667073579"/>
      </bottom>
      <diagonal/>
    </border>
    <border>
      <left style="thin">
        <color theme="0" tint="-0.14996795556505021"/>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24994659260841701"/>
      </left>
      <right/>
      <top style="hair">
        <color indexed="64"/>
      </top>
      <bottom/>
      <diagonal/>
    </border>
    <border>
      <left/>
      <right style="thin">
        <color theme="0" tint="-0.24994659260841701"/>
      </right>
      <top style="hair">
        <color indexed="64"/>
      </top>
      <bottom/>
      <diagonal/>
    </border>
    <border>
      <left style="thin">
        <color theme="0" tint="-0.24994659260841701"/>
      </left>
      <right/>
      <top style="thin">
        <color indexed="64"/>
      </top>
      <bottom style="thin">
        <color theme="0" tint="-0.24994659260841701"/>
      </bottom>
      <diagonal/>
    </border>
    <border>
      <left/>
      <right/>
      <top style="thin">
        <color indexed="64"/>
      </top>
      <bottom style="thin">
        <color theme="0" tint="-0.24994659260841701"/>
      </bottom>
      <diagonal/>
    </border>
    <border>
      <left/>
      <right style="thin">
        <color theme="0" tint="-0.24994659260841701"/>
      </right>
      <top style="thin">
        <color indexed="64"/>
      </top>
      <bottom style="thin">
        <color theme="0" tint="-0.24994659260841701"/>
      </bottom>
      <diagonal/>
    </border>
    <border>
      <left/>
      <right style="thin">
        <color theme="9" tint="-0.24994659260841701"/>
      </right>
      <top/>
      <bottom style="medium">
        <color theme="9" tint="-0.24994659260841701"/>
      </bottom>
      <diagonal/>
    </border>
    <border>
      <left style="thin">
        <color indexed="64"/>
      </left>
      <right style="thin">
        <color indexed="64"/>
      </right>
      <top/>
      <bottom style="thin">
        <color theme="9" tint="0.39994506668294322"/>
      </bottom>
      <diagonal/>
    </border>
    <border>
      <left/>
      <right/>
      <top/>
      <bottom style="thick">
        <color theme="0" tint="-0.499984740745262"/>
      </bottom>
      <diagonal/>
    </border>
    <border>
      <left style="thin">
        <color theme="0" tint="-0.34998626667073579"/>
      </left>
      <right/>
      <top/>
      <bottom style="medium">
        <color theme="0" tint="-0.34998626667073579"/>
      </bottom>
      <diagonal/>
    </border>
    <border>
      <left style="thin">
        <color theme="0" tint="-0.34998626667073579"/>
      </left>
      <right/>
      <top style="medium">
        <color theme="0" tint="-0.34998626667073579"/>
      </top>
      <bottom style="medium">
        <color theme="0" tint="-0.34998626667073579"/>
      </bottom>
      <diagonal/>
    </border>
    <border>
      <left/>
      <right/>
      <top/>
      <bottom style="thick">
        <color theme="0" tint="-0.34998626667073579"/>
      </bottom>
      <diagonal/>
    </border>
    <border>
      <left/>
      <right style="medium">
        <color theme="9" tint="-0.24994659260841701"/>
      </right>
      <top/>
      <bottom style="medium">
        <color theme="9" tint="-0.24994659260841701"/>
      </bottom>
      <diagonal/>
    </border>
    <border>
      <left style="thin">
        <color theme="0" tint="-0.24994659260841701"/>
      </left>
      <right/>
      <top style="thin">
        <color theme="0" tint="-0.24994659260841701"/>
      </top>
      <bottom style="medium">
        <color indexed="64"/>
      </bottom>
      <diagonal/>
    </border>
    <border>
      <left/>
      <right/>
      <top style="thin">
        <color theme="0" tint="-0.24994659260841701"/>
      </top>
      <bottom style="medium">
        <color indexed="64"/>
      </bottom>
      <diagonal/>
    </border>
    <border>
      <left/>
      <right style="thin">
        <color theme="0" tint="-0.24994659260841701"/>
      </right>
      <top style="thin">
        <color theme="0" tint="-0.24994659260841701"/>
      </top>
      <bottom style="medium">
        <color indexed="64"/>
      </bottom>
      <diagonal/>
    </border>
    <border>
      <left/>
      <right style="thin">
        <color theme="0" tint="-0.24994659260841701"/>
      </right>
      <top style="medium">
        <color indexed="64"/>
      </top>
      <bottom/>
      <diagonal/>
    </border>
    <border>
      <left style="thin">
        <color theme="0" tint="-0.14996795556505021"/>
      </left>
      <right/>
      <top style="thin">
        <color theme="0" tint="-0.14996795556505021"/>
      </top>
      <bottom style="medium">
        <color indexed="64"/>
      </bottom>
      <diagonal/>
    </border>
    <border>
      <left/>
      <right style="thin">
        <color theme="0" tint="-0.14996795556505021"/>
      </right>
      <top style="thin">
        <color theme="0" tint="-0.14996795556505021"/>
      </top>
      <bottom style="medium">
        <color indexed="64"/>
      </bottom>
      <diagonal/>
    </border>
    <border>
      <left style="thin">
        <color theme="0" tint="-0.14996795556505021"/>
      </left>
      <right/>
      <top/>
      <bottom style="thin">
        <color indexed="64"/>
      </bottom>
      <diagonal/>
    </border>
    <border>
      <left style="thin">
        <color theme="0" tint="-0.14996795556505021"/>
      </left>
      <right/>
      <top style="thin">
        <color indexed="64"/>
      </top>
      <bottom style="thin">
        <color indexed="64"/>
      </bottom>
      <diagonal/>
    </border>
    <border>
      <left style="thin">
        <color theme="0" tint="-0.14996795556505021"/>
      </left>
      <right/>
      <top style="thin">
        <color indexed="64"/>
      </top>
      <bottom style="thin">
        <color theme="0" tint="-0.14996795556505021"/>
      </bottom>
      <diagonal/>
    </border>
    <border>
      <left style="thin">
        <color theme="0" tint="-0.24994659260841701"/>
      </left>
      <right style="thin">
        <color theme="0" tint="-0.14996795556505021"/>
      </right>
      <top style="medium">
        <color indexed="64"/>
      </top>
      <bottom style="thin">
        <color indexed="64"/>
      </bottom>
      <diagonal/>
    </border>
    <border>
      <left style="thin">
        <color theme="0" tint="-0.24994659260841701"/>
      </left>
      <right style="thin">
        <color theme="0" tint="-0.14996795556505021"/>
      </right>
      <top style="thin">
        <color indexed="64"/>
      </top>
      <bottom style="thin">
        <color indexed="64"/>
      </bottom>
      <diagonal/>
    </border>
    <border>
      <left style="thin">
        <color theme="0" tint="-0.24994659260841701"/>
      </left>
      <right style="thin">
        <color theme="0" tint="-0.14996795556505021"/>
      </right>
      <top style="thin">
        <color indexed="64"/>
      </top>
      <bottom style="thin">
        <color theme="0" tint="-0.14996795556505021"/>
      </bottom>
      <diagonal/>
    </border>
    <border>
      <left style="thin">
        <color theme="0" tint="-0.34998626667073579"/>
      </left>
      <right/>
      <top style="thin">
        <color theme="0" tint="-0.24994659260841701"/>
      </top>
      <bottom style="medium">
        <color indexed="64"/>
      </bottom>
      <diagonal/>
    </border>
    <border>
      <left/>
      <right style="thin">
        <color theme="0" tint="-0.34998626667073579"/>
      </right>
      <top style="thin">
        <color theme="0" tint="-0.24994659260841701"/>
      </top>
      <bottom style="medium">
        <color indexed="64"/>
      </bottom>
      <diagonal/>
    </border>
    <border>
      <left style="thin">
        <color theme="0" tint="-0.34998626667073579"/>
      </left>
      <right/>
      <top/>
      <bottom style="thin">
        <color theme="0" tint="-0.24994659260841701"/>
      </bottom>
      <diagonal/>
    </border>
    <border>
      <left/>
      <right style="thin">
        <color theme="0" tint="-0.34998626667073579"/>
      </right>
      <top/>
      <bottom style="thin">
        <color theme="0" tint="-0.24994659260841701"/>
      </bottom>
      <diagonal/>
    </border>
    <border>
      <left/>
      <right style="medium">
        <color theme="0" tint="-0.24994659260841701"/>
      </right>
      <top style="thin">
        <color theme="0" tint="-0.24994659260841701"/>
      </top>
      <bottom style="medium">
        <color theme="0" tint="-0.24994659260841701"/>
      </bottom>
      <diagonal/>
    </border>
    <border>
      <left/>
      <right/>
      <top style="thin">
        <color theme="0"/>
      </top>
      <bottom/>
      <diagonal/>
    </border>
    <border>
      <left/>
      <right/>
      <top style="thin">
        <color theme="0"/>
      </top>
      <bottom style="medium">
        <color theme="0" tint="-0.34998626667073579"/>
      </bottom>
      <diagonal/>
    </border>
    <border>
      <left/>
      <right/>
      <top style="thin">
        <color theme="0"/>
      </top>
      <bottom style="medium">
        <color theme="0" tint="-0.24994659260841701"/>
      </bottom>
      <diagonal/>
    </border>
    <border>
      <left style="thin">
        <color theme="0" tint="-0.14993743705557422"/>
      </left>
      <right/>
      <top/>
      <bottom style="thin">
        <color theme="0" tint="-0.14993743705557422"/>
      </bottom>
      <diagonal/>
    </border>
    <border>
      <left style="thin">
        <color theme="0" tint="-0.14990691854609822"/>
      </left>
      <right style="thin">
        <color theme="0" tint="-0.14993743705557422"/>
      </right>
      <top/>
      <bottom style="thin">
        <color theme="0" tint="-0.14993743705557422"/>
      </bottom>
      <diagonal/>
    </border>
    <border>
      <left style="thin">
        <color theme="0" tint="-0.14990691854609822"/>
      </left>
      <right style="thin">
        <color theme="0" tint="-0.14993743705557422"/>
      </right>
      <top/>
      <bottom/>
      <diagonal/>
    </border>
    <border>
      <left/>
      <right style="thin">
        <color indexed="64"/>
      </right>
      <top style="thin">
        <color theme="0"/>
      </top>
      <bottom/>
      <diagonal/>
    </border>
    <border>
      <left style="thin">
        <color indexed="64"/>
      </left>
      <right style="thin">
        <color indexed="64"/>
      </right>
      <top style="thin">
        <color theme="0"/>
      </top>
      <bottom style="thin">
        <color indexed="64"/>
      </bottom>
      <diagonal/>
    </border>
    <border>
      <left style="thin">
        <color theme="9" tint="0.39994506668294322"/>
      </left>
      <right/>
      <top/>
      <bottom style="thin">
        <color theme="9" tint="0.39994506668294322"/>
      </bottom>
      <diagonal/>
    </border>
    <border>
      <left style="thin">
        <color theme="9" tint="0.39994506668294322"/>
      </left>
      <right/>
      <top style="thin">
        <color theme="9" tint="0.39994506668294322"/>
      </top>
      <bottom style="thin">
        <color theme="9" tint="0.39994506668294322"/>
      </bottom>
      <diagonal/>
    </border>
    <border>
      <left style="thin">
        <color theme="0" tint="-0.34998626667073579"/>
      </left>
      <right style="thin">
        <color theme="0" tint="-0.34998626667073579"/>
      </right>
      <top style="thin">
        <color theme="0" tint="-0.34998626667073579"/>
      </top>
      <bottom style="medium">
        <color theme="0" tint="-0.34998626667073579"/>
      </bottom>
      <diagonal/>
    </border>
    <border>
      <left style="thin">
        <color theme="0" tint="-0.24994659260841701"/>
      </left>
      <right/>
      <top style="thin">
        <color theme="0" tint="-0.24994659260841701"/>
      </top>
      <bottom style="thin">
        <color indexed="64"/>
      </bottom>
      <diagonal/>
    </border>
    <border>
      <left/>
      <right style="thin">
        <color theme="0" tint="-0.34998626667073579"/>
      </right>
      <top style="thin">
        <color theme="0" tint="-0.24994659260841701"/>
      </top>
      <bottom style="thin">
        <color indexed="64"/>
      </bottom>
      <diagonal/>
    </border>
    <border>
      <left style="thin">
        <color theme="0" tint="-0.34998626667073579"/>
      </left>
      <right style="thin">
        <color theme="0" tint="-0.34998626667073579"/>
      </right>
      <top style="thin">
        <color theme="0" tint="-0.24994659260841701"/>
      </top>
      <bottom style="medium">
        <color theme="0" tint="-0.34998626667073579"/>
      </bottom>
      <diagonal/>
    </border>
    <border>
      <left style="thin">
        <color theme="0" tint="-0.34998626667073579"/>
      </left>
      <right style="thin">
        <color theme="0" tint="-0.24994659260841701"/>
      </right>
      <top style="thin">
        <color theme="0" tint="-0.24994659260841701"/>
      </top>
      <bottom style="medium">
        <color theme="0" tint="-0.34998626667073579"/>
      </bottom>
      <diagonal/>
    </border>
    <border>
      <left style="thin">
        <color theme="0" tint="-0.24994659260841701"/>
      </left>
      <right/>
      <top style="thin">
        <color indexed="64"/>
      </top>
      <bottom style="thin">
        <color indexed="64"/>
      </bottom>
      <diagonal/>
    </border>
    <border>
      <left/>
      <right style="thin">
        <color theme="0" tint="-0.24994659260841701"/>
      </right>
      <top style="thin">
        <color indexed="64"/>
      </top>
      <bottom style="thin">
        <color indexed="64"/>
      </bottom>
      <diagonal/>
    </border>
    <border>
      <left style="thin">
        <color indexed="64"/>
      </left>
      <right style="thin">
        <color indexed="64"/>
      </right>
      <top style="thin">
        <color indexed="64"/>
      </top>
      <bottom style="thin">
        <color theme="0" tint="-0.24994659260841701"/>
      </bottom>
      <diagonal/>
    </border>
    <border>
      <left style="thin">
        <color theme="0" tint="-0.24994659260841701"/>
      </left>
      <right/>
      <top style="thin">
        <color theme="0" tint="-0.24994659260841701"/>
      </top>
      <bottom style="thin">
        <color theme="0"/>
      </bottom>
      <diagonal/>
    </border>
    <border>
      <left/>
      <right style="thin">
        <color theme="0" tint="-0.24994659260841701"/>
      </right>
      <top style="thin">
        <color theme="0" tint="-0.24994659260841701"/>
      </top>
      <bottom style="thin">
        <color theme="0"/>
      </bottom>
      <diagonal/>
    </border>
    <border>
      <left style="thin">
        <color theme="0" tint="-0.24994659260841701"/>
      </left>
      <right/>
      <top style="thin">
        <color theme="0"/>
      </top>
      <bottom style="thin">
        <color theme="0"/>
      </bottom>
      <diagonal/>
    </border>
    <border>
      <left/>
      <right style="thin">
        <color theme="0" tint="-0.24994659260841701"/>
      </right>
      <top style="thin">
        <color theme="0"/>
      </top>
      <bottom style="thin">
        <color theme="0"/>
      </bottom>
      <diagonal/>
    </border>
    <border>
      <left style="thin">
        <color theme="0" tint="-0.24994659260841701"/>
      </left>
      <right/>
      <top style="thin">
        <color theme="0"/>
      </top>
      <bottom/>
      <diagonal/>
    </border>
    <border>
      <left/>
      <right style="thin">
        <color theme="0" tint="-0.24994659260841701"/>
      </right>
      <top style="thin">
        <color theme="0"/>
      </top>
      <bottom/>
      <diagonal/>
    </border>
    <border>
      <left style="thin">
        <color indexed="64"/>
      </left>
      <right/>
      <top style="thin">
        <color indexed="64"/>
      </top>
      <bottom style="thin">
        <color theme="0"/>
      </bottom>
      <diagonal/>
    </border>
    <border>
      <left/>
      <right style="thin">
        <color theme="0" tint="-0.24994659260841701"/>
      </right>
      <top style="thin">
        <color indexed="64"/>
      </top>
      <bottom style="thin">
        <color theme="0"/>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theme="0" tint="-0.24994659260841701"/>
      </left>
      <right style="thin">
        <color indexed="64"/>
      </right>
      <top style="thin">
        <color indexed="64"/>
      </top>
      <bottom style="thin">
        <color theme="0" tint="-0.24994659260841701"/>
      </bottom>
      <diagonal/>
    </border>
    <border>
      <left style="thin">
        <color indexed="64"/>
      </left>
      <right/>
      <top style="thin">
        <color theme="0"/>
      </top>
      <bottom style="thin">
        <color theme="0"/>
      </bottom>
      <diagonal/>
    </border>
    <border>
      <left style="thin">
        <color theme="0" tint="-0.24994659260841701"/>
      </left>
      <right style="thin">
        <color indexed="64"/>
      </right>
      <top style="thin">
        <color theme="0" tint="-0.24994659260841701"/>
      </top>
      <bottom style="thin">
        <color theme="0" tint="-0.24994659260841701"/>
      </bottom>
      <diagonal/>
    </border>
    <border>
      <left style="thin">
        <color indexed="64"/>
      </left>
      <right/>
      <top style="thin">
        <color theme="0"/>
      </top>
      <bottom style="thin">
        <color indexed="64"/>
      </bottom>
      <diagonal/>
    </border>
    <border>
      <left/>
      <right style="thin">
        <color theme="0" tint="-0.24994659260841701"/>
      </right>
      <top style="thin">
        <color theme="0"/>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24994659260841701"/>
      </left>
      <right style="thin">
        <color indexed="64"/>
      </right>
      <top style="thin">
        <color theme="0" tint="-0.24994659260841701"/>
      </top>
      <bottom style="thin">
        <color indexed="64"/>
      </bottom>
      <diagonal/>
    </border>
    <border>
      <left style="thick">
        <color theme="0" tint="-0.24994659260841701"/>
      </left>
      <right style="thin">
        <color theme="0" tint="-0.24994659260841701"/>
      </right>
      <top style="thin">
        <color theme="0" tint="-0.24994659260841701"/>
      </top>
      <bottom style="thin">
        <color theme="0" tint="-0.24994659260841701"/>
      </bottom>
      <diagonal/>
    </border>
    <border>
      <left/>
      <right style="thin">
        <color theme="0" tint="-0.24994659260841701"/>
      </right>
      <top/>
      <bottom style="thin">
        <color theme="0" tint="-0.34998626667073579"/>
      </bottom>
      <diagonal/>
    </border>
    <border>
      <left style="thin">
        <color theme="0" tint="-0.24994659260841701"/>
      </left>
      <right/>
      <top/>
      <bottom style="thin">
        <color indexed="64"/>
      </bottom>
      <diagonal/>
    </border>
    <border>
      <left/>
      <right style="thin">
        <color theme="0" tint="-0.24994659260841701"/>
      </right>
      <top/>
      <bottom style="thin">
        <color indexed="64"/>
      </bottom>
      <diagonal/>
    </border>
    <border>
      <left/>
      <right/>
      <top style="thin">
        <color theme="0" tint="-0.24994659260841701"/>
      </top>
      <bottom style="thin">
        <color indexed="64"/>
      </bottom>
      <diagonal/>
    </border>
    <border>
      <left/>
      <right style="thin">
        <color theme="0" tint="-0.24994659260841701"/>
      </right>
      <top style="thin">
        <color theme="0" tint="-0.24994659260841701"/>
      </top>
      <bottom style="thin">
        <color indexed="64"/>
      </bottom>
      <diagonal/>
    </border>
    <border>
      <left/>
      <right style="thin">
        <color theme="0" tint="-0.24994659260841701"/>
      </right>
      <top/>
      <bottom style="thin">
        <color theme="0"/>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indexed="64"/>
      </right>
      <top/>
      <bottom style="thin">
        <color theme="0" tint="-0.24994659260841701"/>
      </bottom>
      <diagonal/>
    </border>
    <border>
      <left style="thin">
        <color indexed="64"/>
      </left>
      <right style="thin">
        <color theme="0" tint="-0.24994659260841701"/>
      </right>
      <top style="thin">
        <color indexed="64"/>
      </top>
      <bottom style="thin">
        <color indexed="64"/>
      </bottom>
      <diagonal/>
    </border>
    <border>
      <left style="thin">
        <color theme="0" tint="-0.24994659260841701"/>
      </left>
      <right style="thin">
        <color indexed="64"/>
      </right>
      <top style="thin">
        <color indexed="64"/>
      </top>
      <bottom style="thin">
        <color indexed="64"/>
      </bottom>
      <diagonal/>
    </border>
    <border>
      <left/>
      <right style="thin">
        <color indexed="64"/>
      </right>
      <top style="medium">
        <color theme="0" tint="-0.24994659260841701"/>
      </top>
      <bottom style="double">
        <color indexed="64"/>
      </bottom>
      <diagonal/>
    </border>
    <border>
      <left style="medium">
        <color theme="0" tint="-0.24994659260841701"/>
      </left>
      <right/>
      <top style="double">
        <color indexed="64"/>
      </top>
      <bottom style="medium">
        <color theme="0" tint="-0.24994659260841701"/>
      </bottom>
      <diagonal/>
    </border>
    <border>
      <left/>
      <right/>
      <top style="double">
        <color indexed="64"/>
      </top>
      <bottom style="medium">
        <color theme="0" tint="-0.24994659260841701"/>
      </bottom>
      <diagonal/>
    </border>
    <border>
      <left/>
      <right style="medium">
        <color theme="0" tint="-0.24994659260841701"/>
      </right>
      <top style="double">
        <color indexed="64"/>
      </top>
      <bottom style="medium">
        <color theme="0" tint="-0.24994659260841701"/>
      </bottom>
      <diagonal/>
    </border>
    <border>
      <left style="thin">
        <color theme="0" tint="-0.24994659260841701"/>
      </left>
      <right style="thin">
        <color theme="0" tint="-0.24994659260841701"/>
      </right>
      <top style="medium">
        <color theme="0" tint="-0.24994659260841701"/>
      </top>
      <bottom style="medium">
        <color theme="0" tint="-0.24994659260841701"/>
      </bottom>
      <diagonal/>
    </border>
    <border>
      <left/>
      <right style="medium">
        <color theme="0" tint="-0.24994659260841701"/>
      </right>
      <top style="medium">
        <color theme="0" tint="-0.24994659260841701"/>
      </top>
      <bottom style="double">
        <color indexed="64"/>
      </bottom>
      <diagonal/>
    </border>
    <border>
      <left style="thin">
        <color theme="0" tint="-0.34998626667073579"/>
      </left>
      <right style="thin">
        <color theme="0" tint="-0.34998626667073579"/>
      </right>
      <top style="thin">
        <color indexed="64"/>
      </top>
      <bottom/>
      <diagonal/>
    </border>
    <border>
      <left style="thin">
        <color theme="0" tint="-0.34998626667073579"/>
      </left>
      <right style="thin">
        <color theme="0" tint="-0.34998626667073579"/>
      </right>
      <top/>
      <bottom style="double">
        <color indexed="64"/>
      </bottom>
      <diagonal/>
    </border>
    <border>
      <left style="thin">
        <color theme="0" tint="-0.34998626667073579"/>
      </left>
      <right style="thin">
        <color theme="0" tint="-0.34998626667073579"/>
      </right>
      <top/>
      <bottom style="thin">
        <color indexed="64"/>
      </bottom>
      <diagonal/>
    </border>
    <border>
      <left style="medium">
        <color theme="0" tint="-0.24994659260841701"/>
      </left>
      <right/>
      <top/>
      <bottom style="medium">
        <color theme="0" tint="-0.24994659260841701"/>
      </bottom>
      <diagonal/>
    </border>
    <border>
      <left/>
      <right style="medium">
        <color theme="0" tint="-0.24994659260841701"/>
      </right>
      <top/>
      <bottom style="medium">
        <color theme="0" tint="-0.24994659260841701"/>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top style="medium">
        <color theme="0" tint="-0.24994659260841701"/>
      </top>
      <bottom/>
      <diagonal/>
    </border>
    <border>
      <left style="medium">
        <color theme="0" tint="-0.24994659260841701"/>
      </left>
      <right/>
      <top/>
      <bottom style="thick">
        <color theme="0" tint="-0.24994659260841701"/>
      </bottom>
      <diagonal/>
    </border>
    <border>
      <left/>
      <right style="medium">
        <color theme="0" tint="-0.24994659260841701"/>
      </right>
      <top/>
      <bottom style="thick">
        <color theme="0" tint="-0.24994659260841701"/>
      </bottom>
      <diagonal/>
    </border>
    <border>
      <left style="thin">
        <color theme="0" tint="-0.34998626667073579"/>
      </left>
      <right/>
      <top/>
      <bottom style="thin">
        <color theme="0" tint="-0.34998626667073579"/>
      </bottom>
      <diagonal/>
    </border>
    <border>
      <left/>
      <right/>
      <top/>
      <bottom style="medium">
        <color theme="0" tint="-0.499984740745262"/>
      </bottom>
      <diagonal/>
    </border>
  </borders>
  <cellStyleXfs count="9">
    <xf numFmtId="0" fontId="0" fillId="0" borderId="0"/>
    <xf numFmtId="9" fontId="3" fillId="0" borderId="0" applyFont="0" applyFill="0" applyBorder="0" applyAlignment="0" applyProtection="0"/>
    <xf numFmtId="166" fontId="3" fillId="0" borderId="0" applyFont="0" applyFill="0" applyBorder="0" applyAlignment="0" applyProtection="0"/>
    <xf numFmtId="0" fontId="5" fillId="0" borderId="0">
      <alignment vertical="center"/>
    </xf>
    <xf numFmtId="0" fontId="4" fillId="0" borderId="0"/>
    <xf numFmtId="0" fontId="6" fillId="0" borderId="0"/>
    <xf numFmtId="164" fontId="6" fillId="0" borderId="0" applyFont="0" applyFill="0" applyBorder="0" applyAlignment="0" applyProtection="0"/>
    <xf numFmtId="164" fontId="6" fillId="0" borderId="0" applyFont="0" applyFill="0" applyBorder="0" applyAlignment="0" applyProtection="0"/>
    <xf numFmtId="0" fontId="123" fillId="0" borderId="0" applyNumberFormat="0" applyFill="0" applyBorder="0" applyAlignment="0" applyProtection="0"/>
  </cellStyleXfs>
  <cellXfs count="2131">
    <xf numFmtId="0" fontId="0" fillId="0" borderId="0" xfId="0"/>
    <xf numFmtId="0" fontId="7" fillId="2" borderId="0" xfId="0" applyFont="1" applyFill="1"/>
    <xf numFmtId="0" fontId="7" fillId="2" borderId="0" xfId="0" applyFont="1" applyFill="1" applyAlignment="1">
      <alignment horizontal="right"/>
    </xf>
    <xf numFmtId="0" fontId="8" fillId="2" borderId="0" xfId="0" applyFont="1" applyFill="1"/>
    <xf numFmtId="0" fontId="12" fillId="2" borderId="0" xfId="0" applyFont="1" applyFill="1"/>
    <xf numFmtId="3" fontId="12" fillId="7" borderId="0" xfId="0" applyNumberFormat="1" applyFont="1" applyFill="1" applyBorder="1" applyAlignment="1">
      <alignment horizontal="right"/>
    </xf>
    <xf numFmtId="0" fontId="12" fillId="2" borderId="0" xfId="0" applyFont="1" applyFill="1" applyAlignment="1">
      <alignment horizontal="right"/>
    </xf>
    <xf numFmtId="0" fontId="15" fillId="2" borderId="0" xfId="0" applyFont="1" applyFill="1"/>
    <xf numFmtId="3" fontId="15" fillId="2" borderId="25" xfId="0" applyNumberFormat="1" applyFont="1" applyFill="1" applyBorder="1" applyAlignment="1">
      <alignment horizontal="right"/>
    </xf>
    <xf numFmtId="3" fontId="15" fillId="4" borderId="5" xfId="0" applyNumberFormat="1" applyFont="1" applyFill="1" applyBorder="1" applyAlignment="1">
      <alignment horizontal="right"/>
    </xf>
    <xf numFmtId="0" fontId="17" fillId="21" borderId="1" xfId="0" applyFont="1" applyFill="1" applyBorder="1" applyAlignment="1">
      <alignment horizontal="right"/>
    </xf>
    <xf numFmtId="0" fontId="19" fillId="2" borderId="0" xfId="0" applyFont="1" applyFill="1" applyBorder="1" applyAlignment="1">
      <alignment horizontal="right"/>
    </xf>
    <xf numFmtId="0" fontId="20" fillId="2" borderId="0" xfId="0" applyFont="1" applyFill="1" applyBorder="1" applyAlignment="1">
      <alignment horizontal="right"/>
    </xf>
    <xf numFmtId="0" fontId="19" fillId="2" borderId="0" xfId="0" applyFont="1" applyFill="1" applyBorder="1"/>
    <xf numFmtId="0" fontId="11" fillId="5" borderId="23" xfId="0" applyFont="1" applyFill="1" applyBorder="1"/>
    <xf numFmtId="49" fontId="15" fillId="2" borderId="10" xfId="0" applyNumberFormat="1" applyFont="1" applyFill="1" applyBorder="1" applyAlignment="1">
      <alignment horizontal="center"/>
    </xf>
    <xf numFmtId="49" fontId="15" fillId="2" borderId="3" xfId="0" applyNumberFormat="1" applyFont="1" applyFill="1" applyBorder="1" applyAlignment="1">
      <alignment horizontal="center"/>
    </xf>
    <xf numFmtId="2" fontId="15" fillId="2" borderId="3" xfId="0" applyNumberFormat="1" applyFont="1" applyFill="1" applyBorder="1" applyAlignment="1">
      <alignment horizontal="center"/>
    </xf>
    <xf numFmtId="2" fontId="15" fillId="2" borderId="31" xfId="0" applyNumberFormat="1" applyFont="1" applyFill="1" applyBorder="1" applyAlignment="1">
      <alignment horizontal="center"/>
    </xf>
    <xf numFmtId="49" fontId="15" fillId="4" borderId="3" xfId="0" applyNumberFormat="1" applyFont="1" applyFill="1" applyBorder="1" applyAlignment="1">
      <alignment horizontal="right"/>
    </xf>
    <xf numFmtId="0" fontId="15" fillId="4" borderId="3" xfId="0" applyFont="1" applyFill="1" applyBorder="1" applyAlignment="1">
      <alignment horizontal="right"/>
    </xf>
    <xf numFmtId="0" fontId="15" fillId="4" borderId="31" xfId="0" applyFont="1" applyFill="1" applyBorder="1" applyAlignment="1">
      <alignment horizontal="right"/>
    </xf>
    <xf numFmtId="0" fontId="12" fillId="2" borderId="9" xfId="0" applyFont="1" applyFill="1" applyBorder="1"/>
    <xf numFmtId="3" fontId="12" fillId="7" borderId="9" xfId="0" applyNumberFormat="1" applyFont="1" applyFill="1" applyBorder="1" applyAlignment="1">
      <alignment horizontal="center"/>
    </xf>
    <xf numFmtId="3" fontId="12" fillId="7" borderId="0" xfId="0" applyNumberFormat="1" applyFont="1" applyFill="1" applyAlignment="1">
      <alignment horizontal="center"/>
    </xf>
    <xf numFmtId="3" fontId="12" fillId="7" borderId="32" xfId="0" applyNumberFormat="1" applyFont="1" applyFill="1" applyBorder="1" applyAlignment="1">
      <alignment horizontal="center"/>
    </xf>
    <xf numFmtId="3" fontId="12" fillId="2" borderId="22" xfId="0" applyNumberFormat="1" applyFont="1" applyFill="1" applyBorder="1" applyAlignment="1">
      <alignment horizontal="right"/>
    </xf>
    <xf numFmtId="3" fontId="12" fillId="2" borderId="32" xfId="0" applyNumberFormat="1" applyFont="1" applyFill="1" applyBorder="1" applyAlignment="1">
      <alignment horizontal="right"/>
    </xf>
    <xf numFmtId="3" fontId="12" fillId="2" borderId="92" xfId="0" applyNumberFormat="1" applyFont="1" applyFill="1" applyBorder="1" applyAlignment="1">
      <alignment horizontal="right"/>
    </xf>
    <xf numFmtId="0" fontId="12" fillId="2" borderId="33" xfId="0" applyFont="1" applyFill="1" applyBorder="1"/>
    <xf numFmtId="168" fontId="12" fillId="7" borderId="33" xfId="0" applyNumberFormat="1" applyFont="1" applyFill="1" applyBorder="1" applyAlignment="1">
      <alignment horizontal="center"/>
    </xf>
    <xf numFmtId="168" fontId="12" fillId="7" borderId="5" xfId="0" applyNumberFormat="1" applyFont="1" applyFill="1" applyBorder="1" applyAlignment="1">
      <alignment horizontal="center"/>
    </xf>
    <xf numFmtId="168" fontId="12" fillId="7" borderId="34" xfId="0" applyNumberFormat="1" applyFont="1" applyFill="1" applyBorder="1" applyAlignment="1">
      <alignment horizontal="center"/>
    </xf>
    <xf numFmtId="3" fontId="12" fillId="7" borderId="75" xfId="0" applyNumberFormat="1" applyFont="1" applyFill="1" applyBorder="1" applyAlignment="1">
      <alignment horizontal="right"/>
    </xf>
    <xf numFmtId="3" fontId="12" fillId="7" borderId="55" xfId="0" applyNumberFormat="1" applyFont="1" applyFill="1" applyBorder="1" applyAlignment="1">
      <alignment horizontal="right"/>
    </xf>
    <xf numFmtId="0" fontId="15" fillId="2" borderId="35" xfId="0" applyFont="1" applyFill="1" applyBorder="1"/>
    <xf numFmtId="169" fontId="15" fillId="2" borderId="35" xfId="1" applyNumberFormat="1" applyFont="1" applyFill="1" applyBorder="1" applyAlignment="1">
      <alignment horizontal="center"/>
    </xf>
    <xf numFmtId="169" fontId="15" fillId="2" borderId="4" xfId="1" applyNumberFormat="1" applyFont="1" applyFill="1" applyBorder="1" applyAlignment="1">
      <alignment horizontal="center"/>
    </xf>
    <xf numFmtId="169" fontId="15" fillId="2" borderId="36" xfId="1" applyNumberFormat="1" applyFont="1" applyFill="1" applyBorder="1" applyAlignment="1">
      <alignment horizontal="center"/>
    </xf>
    <xf numFmtId="169" fontId="12" fillId="2" borderId="34" xfId="1" applyNumberFormat="1" applyFont="1" applyFill="1" applyBorder="1" applyAlignment="1">
      <alignment horizontal="right"/>
    </xf>
    <xf numFmtId="0" fontId="12" fillId="2" borderId="35" xfId="0" applyFont="1" applyFill="1" applyBorder="1"/>
    <xf numFmtId="49" fontId="15" fillId="2" borderId="1" xfId="0" applyNumberFormat="1" applyFont="1" applyFill="1" applyBorder="1" applyAlignment="1">
      <alignment horizontal="right"/>
    </xf>
    <xf numFmtId="0" fontId="15" fillId="2" borderId="1" xfId="0" applyFont="1" applyFill="1" applyBorder="1" applyAlignment="1">
      <alignment horizontal="right"/>
    </xf>
    <xf numFmtId="0" fontId="15" fillId="2" borderId="1" xfId="0" applyFont="1" applyFill="1" applyBorder="1" applyAlignment="1">
      <alignment horizontal="center"/>
    </xf>
    <xf numFmtId="0" fontId="15" fillId="2" borderId="34" xfId="0" applyFont="1" applyFill="1" applyBorder="1" applyAlignment="1">
      <alignment horizontal="center"/>
    </xf>
    <xf numFmtId="169" fontId="12" fillId="6" borderId="24" xfId="0" applyNumberFormat="1" applyFont="1" applyFill="1" applyBorder="1" applyAlignment="1">
      <alignment horizontal="right"/>
    </xf>
    <xf numFmtId="169" fontId="12" fillId="6" borderId="20" xfId="0" applyNumberFormat="1" applyFont="1" applyFill="1" applyBorder="1" applyAlignment="1">
      <alignment horizontal="right"/>
    </xf>
    <xf numFmtId="0" fontId="12" fillId="2" borderId="57" xfId="0" applyFont="1" applyFill="1" applyBorder="1"/>
    <xf numFmtId="0" fontId="15" fillId="2" borderId="0" xfId="0" applyFont="1" applyFill="1" applyAlignment="1">
      <alignment horizontal="center"/>
    </xf>
    <xf numFmtId="3" fontId="12" fillId="2" borderId="10" xfId="0" applyNumberFormat="1" applyFont="1" applyFill="1" applyBorder="1" applyAlignment="1">
      <alignment horizontal="right"/>
    </xf>
    <xf numFmtId="3" fontId="12" fillId="2" borderId="3" xfId="0" applyNumberFormat="1" applyFont="1" applyFill="1" applyBorder="1" applyAlignment="1">
      <alignment horizontal="right"/>
    </xf>
    <xf numFmtId="0" fontId="12" fillId="2" borderId="31" xfId="0" applyFont="1" applyFill="1" applyBorder="1"/>
    <xf numFmtId="0" fontId="11" fillId="5" borderId="10" xfId="0" applyFont="1" applyFill="1" applyBorder="1"/>
    <xf numFmtId="0" fontId="17" fillId="11" borderId="1" xfId="0" applyFont="1" applyFill="1" applyBorder="1" applyAlignment="1">
      <alignment horizontal="right"/>
    </xf>
    <xf numFmtId="0" fontId="21" fillId="2" borderId="0" xfId="0" applyFont="1" applyFill="1"/>
    <xf numFmtId="0" fontId="12" fillId="2" borderId="0" xfId="0" applyFont="1" applyFill="1" applyAlignment="1">
      <alignment horizontal="center"/>
    </xf>
    <xf numFmtId="0" fontId="15" fillId="4" borderId="10" xfId="0" applyFont="1" applyFill="1" applyBorder="1"/>
    <xf numFmtId="0" fontId="15" fillId="4" borderId="10" xfId="0" applyFont="1" applyFill="1" applyBorder="1" applyAlignment="1">
      <alignment horizontal="right"/>
    </xf>
    <xf numFmtId="0" fontId="15" fillId="2" borderId="10" xfId="0" applyFont="1" applyFill="1" applyBorder="1" applyAlignment="1">
      <alignment horizontal="right"/>
    </xf>
    <xf numFmtId="0" fontId="15" fillId="2" borderId="3" xfId="0" applyFont="1" applyFill="1" applyBorder="1" applyAlignment="1">
      <alignment horizontal="right"/>
    </xf>
    <xf numFmtId="0" fontId="15" fillId="2" borderId="31" xfId="0" applyFont="1" applyFill="1" applyBorder="1" applyAlignment="1">
      <alignment horizontal="right"/>
    </xf>
    <xf numFmtId="0" fontId="15" fillId="2" borderId="24" xfId="0" applyFont="1" applyFill="1" applyBorder="1"/>
    <xf numFmtId="3" fontId="12" fillId="7" borderId="20" xfId="0" applyNumberFormat="1" applyFont="1" applyFill="1" applyBorder="1" applyAlignment="1">
      <alignment horizontal="right"/>
    </xf>
    <xf numFmtId="3" fontId="12" fillId="7" borderId="57" xfId="0" applyNumberFormat="1" applyFont="1" applyFill="1" applyBorder="1" applyAlignment="1">
      <alignment horizontal="right"/>
    </xf>
    <xf numFmtId="3" fontId="12" fillId="2" borderId="24" xfId="0" applyNumberFormat="1" applyFont="1" applyFill="1" applyBorder="1" applyAlignment="1">
      <alignment horizontal="right"/>
    </xf>
    <xf numFmtId="3" fontId="12" fillId="2" borderId="20" xfId="0" applyNumberFormat="1" applyFont="1" applyFill="1" applyBorder="1" applyAlignment="1">
      <alignment horizontal="right"/>
    </xf>
    <xf numFmtId="3" fontId="12" fillId="2" borderId="57" xfId="0" applyNumberFormat="1" applyFont="1" applyFill="1" applyBorder="1" applyAlignment="1">
      <alignment horizontal="right"/>
    </xf>
    <xf numFmtId="0" fontId="15" fillId="2" borderId="9" xfId="0" applyFont="1" applyFill="1" applyBorder="1"/>
    <xf numFmtId="3" fontId="12" fillId="7" borderId="9" xfId="0" applyNumberFormat="1" applyFont="1" applyFill="1" applyBorder="1" applyAlignment="1">
      <alignment horizontal="right"/>
    </xf>
    <xf numFmtId="3" fontId="12" fillId="7" borderId="32" xfId="0" applyNumberFormat="1" applyFont="1" applyFill="1" applyBorder="1" applyAlignment="1">
      <alignment horizontal="right"/>
    </xf>
    <xf numFmtId="3" fontId="12" fillId="2" borderId="9" xfId="0" applyNumberFormat="1" applyFont="1" applyFill="1" applyBorder="1" applyAlignment="1">
      <alignment horizontal="right"/>
    </xf>
    <xf numFmtId="3" fontId="12" fillId="2" borderId="0" xfId="0" applyNumberFormat="1" applyFont="1" applyFill="1" applyBorder="1" applyAlignment="1">
      <alignment horizontal="right"/>
    </xf>
    <xf numFmtId="0" fontId="15" fillId="4" borderId="23" xfId="0" applyFont="1" applyFill="1" applyBorder="1"/>
    <xf numFmtId="3" fontId="12" fillId="7" borderId="2" xfId="0" applyNumberFormat="1" applyFont="1" applyFill="1" applyBorder="1"/>
    <xf numFmtId="3" fontId="12" fillId="7" borderId="45" xfId="0" applyNumberFormat="1" applyFont="1" applyFill="1" applyBorder="1"/>
    <xf numFmtId="3" fontId="12" fillId="2" borderId="44" xfId="0" applyNumberFormat="1" applyFont="1" applyFill="1" applyBorder="1" applyAlignment="1">
      <alignment horizontal="right"/>
    </xf>
    <xf numFmtId="3" fontId="12" fillId="2" borderId="2" xfId="0" applyNumberFormat="1" applyFont="1" applyFill="1" applyBorder="1" applyAlignment="1">
      <alignment horizontal="right"/>
    </xf>
    <xf numFmtId="3" fontId="12" fillId="2" borderId="45" xfId="0" applyNumberFormat="1" applyFont="1" applyFill="1" applyBorder="1" applyAlignment="1">
      <alignment horizontal="right"/>
    </xf>
    <xf numFmtId="3" fontId="12" fillId="7" borderId="0" xfId="0" applyNumberFormat="1" applyFont="1" applyFill="1" applyBorder="1"/>
    <xf numFmtId="3" fontId="12" fillId="7" borderId="32" xfId="0" applyNumberFormat="1" applyFont="1" applyFill="1" applyBorder="1"/>
    <xf numFmtId="3" fontId="12" fillId="7" borderId="5" xfId="0" applyNumberFormat="1" applyFont="1" applyFill="1" applyBorder="1" applyAlignment="1">
      <alignment horizontal="right"/>
    </xf>
    <xf numFmtId="3" fontId="12" fillId="7" borderId="5" xfId="0" applyNumberFormat="1" applyFont="1" applyFill="1" applyBorder="1"/>
    <xf numFmtId="3" fontId="12" fillId="7" borderId="34" xfId="0" applyNumberFormat="1" applyFont="1" applyFill="1" applyBorder="1"/>
    <xf numFmtId="3" fontId="12" fillId="2" borderId="33" xfId="0" applyNumberFormat="1" applyFont="1" applyFill="1" applyBorder="1" applyAlignment="1">
      <alignment horizontal="right"/>
    </xf>
    <xf numFmtId="3" fontId="12" fillId="2" borderId="5" xfId="0" applyNumberFormat="1" applyFont="1" applyFill="1" applyBorder="1" applyAlignment="1">
      <alignment horizontal="right"/>
    </xf>
    <xf numFmtId="3" fontId="12" fillId="2" borderId="34" xfId="0" applyNumberFormat="1" applyFont="1" applyFill="1" applyBorder="1" applyAlignment="1">
      <alignment horizontal="right"/>
    </xf>
    <xf numFmtId="172" fontId="14" fillId="2" borderId="9" xfId="4" applyNumberFormat="1" applyFont="1" applyFill="1" applyBorder="1"/>
    <xf numFmtId="1" fontId="12" fillId="7" borderId="0" xfId="0" applyNumberFormat="1" applyFont="1" applyFill="1" applyBorder="1"/>
    <xf numFmtId="1" fontId="12" fillId="7" borderId="32" xfId="0" applyNumberFormat="1" applyFont="1" applyFill="1" applyBorder="1"/>
    <xf numFmtId="172" fontId="14" fillId="2" borderId="33" xfId="4" applyNumberFormat="1" applyFont="1" applyFill="1" applyBorder="1"/>
    <xf numFmtId="0" fontId="22" fillId="4" borderId="33" xfId="4" applyFont="1" applyFill="1" applyBorder="1"/>
    <xf numFmtId="0" fontId="21" fillId="4" borderId="5" xfId="0" applyFont="1" applyFill="1" applyBorder="1"/>
    <xf numFmtId="0" fontId="23" fillId="4" borderId="5" xfId="0" applyFont="1" applyFill="1" applyBorder="1" applyAlignment="1">
      <alignment horizontal="right"/>
    </xf>
    <xf numFmtId="3" fontId="23" fillId="4" borderId="33" xfId="0" applyNumberFormat="1" applyFont="1" applyFill="1" applyBorder="1"/>
    <xf numFmtId="3" fontId="23" fillId="4" borderId="5" xfId="0" applyNumberFormat="1" applyFont="1" applyFill="1" applyBorder="1"/>
    <xf numFmtId="3" fontId="23" fillId="4" borderId="34" xfId="0" applyNumberFormat="1" applyFont="1" applyFill="1" applyBorder="1"/>
    <xf numFmtId="172" fontId="14" fillId="2" borderId="0" xfId="4" applyNumberFormat="1" applyFont="1" applyFill="1" applyBorder="1"/>
    <xf numFmtId="3" fontId="15" fillId="2" borderId="1" xfId="0" applyNumberFormat="1" applyFont="1" applyFill="1" applyBorder="1" applyAlignment="1">
      <alignment horizontal="right"/>
    </xf>
    <xf numFmtId="3" fontId="12" fillId="2" borderId="0" xfId="0" applyNumberFormat="1" applyFont="1" applyFill="1" applyAlignment="1">
      <alignment horizontal="right"/>
    </xf>
    <xf numFmtId="0" fontId="12" fillId="2" borderId="0" xfId="0" applyFont="1" applyFill="1" applyBorder="1"/>
    <xf numFmtId="0" fontId="25" fillId="20" borderId="1" xfId="0" applyFont="1" applyFill="1" applyBorder="1"/>
    <xf numFmtId="3" fontId="7" fillId="2" borderId="0" xfId="0" applyNumberFormat="1" applyFont="1" applyFill="1" applyAlignment="1">
      <alignment horizontal="right"/>
    </xf>
    <xf numFmtId="3" fontId="15" fillId="2" borderId="0" xfId="0" applyNumberFormat="1" applyFont="1" applyFill="1" applyAlignment="1">
      <alignment horizontal="right"/>
    </xf>
    <xf numFmtId="0" fontId="23" fillId="2" borderId="0" xfId="0" applyFont="1" applyFill="1"/>
    <xf numFmtId="0" fontId="26" fillId="2" borderId="0" xfId="0" applyFont="1" applyFill="1"/>
    <xf numFmtId="0" fontId="27" fillId="2" borderId="0" xfId="0" applyFont="1" applyFill="1"/>
    <xf numFmtId="0" fontId="12" fillId="2" borderId="5" xfId="0" applyFont="1" applyFill="1" applyBorder="1"/>
    <xf numFmtId="1" fontId="12" fillId="2" borderId="0" xfId="0" applyNumberFormat="1" applyFont="1" applyFill="1" applyAlignment="1">
      <alignment horizontal="right"/>
    </xf>
    <xf numFmtId="3" fontId="27" fillId="2" borderId="0" xfId="0" applyNumberFormat="1" applyFont="1" applyFill="1" applyAlignment="1">
      <alignment horizontal="right"/>
    </xf>
    <xf numFmtId="0" fontId="15" fillId="2" borderId="2" xfId="0" applyFont="1" applyFill="1" applyBorder="1"/>
    <xf numFmtId="0" fontId="23" fillId="2" borderId="2" xfId="0" applyFont="1" applyFill="1" applyBorder="1"/>
    <xf numFmtId="0" fontId="27" fillId="2" borderId="0" xfId="0" applyFont="1" applyFill="1" applyBorder="1"/>
    <xf numFmtId="1" fontId="27" fillId="2" borderId="0" xfId="0" applyNumberFormat="1" applyFont="1" applyFill="1" applyAlignment="1">
      <alignment horizontal="right"/>
    </xf>
    <xf numFmtId="0" fontId="15" fillId="2" borderId="5" xfId="0" applyFont="1" applyFill="1" applyBorder="1"/>
    <xf numFmtId="0" fontId="11" fillId="5" borderId="0" xfId="0" applyFont="1" applyFill="1"/>
    <xf numFmtId="3" fontId="11" fillId="5" borderId="0" xfId="0" applyNumberFormat="1" applyFont="1" applyFill="1" applyAlignment="1">
      <alignment horizontal="right"/>
    </xf>
    <xf numFmtId="0" fontId="28" fillId="2" borderId="0" xfId="0" applyFont="1" applyFill="1"/>
    <xf numFmtId="0" fontId="15" fillId="4" borderId="0" xfId="0" applyFont="1" applyFill="1"/>
    <xf numFmtId="3" fontId="15" fillId="4" borderId="0" xfId="0" applyNumberFormat="1" applyFont="1" applyFill="1" applyAlignment="1">
      <alignment horizontal="right"/>
    </xf>
    <xf numFmtId="1" fontId="15" fillId="2" borderId="0" xfId="0" applyNumberFormat="1" applyFont="1" applyFill="1" applyAlignment="1">
      <alignment horizontal="right"/>
    </xf>
    <xf numFmtId="0" fontId="15" fillId="2" borderId="1" xfId="0" applyFont="1" applyFill="1" applyBorder="1"/>
    <xf numFmtId="0" fontId="32" fillId="2" borderId="0" xfId="0" applyFont="1" applyFill="1"/>
    <xf numFmtId="0" fontId="34" fillId="2" borderId="0" xfId="0" applyFont="1" applyFill="1"/>
    <xf numFmtId="168" fontId="24" fillId="17" borderId="109" xfId="0" applyNumberFormat="1" applyFont="1" applyFill="1" applyBorder="1"/>
    <xf numFmtId="168" fontId="34" fillId="17" borderId="109" xfId="0" applyNumberFormat="1" applyFont="1" applyFill="1" applyBorder="1"/>
    <xf numFmtId="0" fontId="35" fillId="2" borderId="0" xfId="0" applyFont="1" applyFill="1"/>
    <xf numFmtId="10" fontId="33" fillId="2" borderId="0" xfId="0" applyNumberFormat="1" applyFont="1" applyFill="1" applyBorder="1" applyAlignment="1">
      <alignment horizontal="center"/>
    </xf>
    <xf numFmtId="0" fontId="25" fillId="15" borderId="124" xfId="3" applyFont="1" applyFill="1" applyBorder="1" applyAlignment="1"/>
    <xf numFmtId="0" fontId="25" fillId="15" borderId="123" xfId="3" applyFont="1" applyFill="1" applyBorder="1" applyAlignment="1">
      <alignment horizontal="center"/>
    </xf>
    <xf numFmtId="178" fontId="24" fillId="5" borderId="123" xfId="2" applyNumberFormat="1" applyFont="1" applyFill="1" applyBorder="1" applyAlignment="1" applyProtection="1">
      <alignment horizontal="center" vertical="center"/>
    </xf>
    <xf numFmtId="178" fontId="24" fillId="5" borderId="125" xfId="2" applyNumberFormat="1" applyFont="1" applyFill="1" applyBorder="1" applyAlignment="1" applyProtection="1">
      <alignment horizontal="center" vertical="center"/>
    </xf>
    <xf numFmtId="0" fontId="37" fillId="25" borderId="0" xfId="0" applyFont="1" applyFill="1"/>
    <xf numFmtId="0" fontId="38" fillId="25" borderId="0" xfId="0" applyFont="1" applyFill="1" applyAlignment="1">
      <alignment horizontal="center"/>
    </xf>
    <xf numFmtId="4" fontId="35" fillId="13" borderId="129" xfId="2" applyNumberFormat="1" applyFont="1" applyFill="1" applyBorder="1" applyAlignment="1">
      <alignment horizontal="center"/>
    </xf>
    <xf numFmtId="4" fontId="35" fillId="13" borderId="130" xfId="2" applyNumberFormat="1" applyFont="1" applyFill="1" applyBorder="1" applyAlignment="1">
      <alignment horizontal="center"/>
    </xf>
    <xf numFmtId="0" fontId="32" fillId="2" borderId="130" xfId="0" applyFont="1" applyFill="1" applyBorder="1"/>
    <xf numFmtId="0" fontId="7" fillId="2" borderId="22" xfId="0" applyFont="1" applyFill="1" applyBorder="1" applyAlignment="1">
      <alignment horizontal="center"/>
    </xf>
    <xf numFmtId="0" fontId="7" fillId="2" borderId="9" xfId="0" applyFont="1" applyFill="1" applyBorder="1"/>
    <xf numFmtId="0" fontId="7" fillId="2" borderId="0" xfId="0" applyFont="1" applyFill="1" applyBorder="1"/>
    <xf numFmtId="0" fontId="7" fillId="2" borderId="33" xfId="0" applyFont="1" applyFill="1" applyBorder="1"/>
    <xf numFmtId="0" fontId="7" fillId="2" borderId="0" xfId="0" applyFont="1" applyFill="1" applyAlignment="1">
      <alignment horizontal="center"/>
    </xf>
    <xf numFmtId="0" fontId="41" fillId="2" borderId="0" xfId="0" applyFont="1" applyFill="1"/>
    <xf numFmtId="0" fontId="41" fillId="2" borderId="1" xfId="0" applyFont="1" applyFill="1" applyBorder="1"/>
    <xf numFmtId="0" fontId="25" fillId="9" borderId="35" xfId="0" applyFont="1" applyFill="1" applyBorder="1"/>
    <xf numFmtId="0" fontId="25" fillId="9" borderId="35" xfId="0" applyFont="1" applyFill="1" applyBorder="1" applyAlignment="1">
      <alignment horizontal="center"/>
    </xf>
    <xf numFmtId="0" fontId="25" fillId="9" borderId="30" xfId="0" applyFont="1" applyFill="1" applyBorder="1" applyAlignment="1">
      <alignment horizontal="right"/>
    </xf>
    <xf numFmtId="0" fontId="15" fillId="4" borderId="44" xfId="0" applyFont="1" applyFill="1" applyBorder="1"/>
    <xf numFmtId="3" fontId="15" fillId="4" borderId="2" xfId="0" applyNumberFormat="1" applyFont="1" applyFill="1" applyBorder="1" applyAlignment="1">
      <alignment horizontal="center"/>
    </xf>
    <xf numFmtId="9" fontId="12" fillId="6" borderId="45" xfId="0" applyNumberFormat="1" applyFont="1" applyFill="1" applyBorder="1"/>
    <xf numFmtId="0" fontId="15" fillId="4" borderId="33" xfId="0" applyFont="1" applyFill="1" applyBorder="1"/>
    <xf numFmtId="3" fontId="15" fillId="4" borderId="5" xfId="0" applyNumberFormat="1" applyFont="1" applyFill="1" applyBorder="1" applyAlignment="1">
      <alignment horizontal="center"/>
    </xf>
    <xf numFmtId="9" fontId="12" fillId="6" borderId="34" xfId="0" applyNumberFormat="1" applyFont="1" applyFill="1" applyBorder="1"/>
    <xf numFmtId="0" fontId="25" fillId="9" borderId="33" xfId="0" applyFont="1" applyFill="1" applyBorder="1"/>
    <xf numFmtId="0" fontId="25" fillId="9" borderId="5" xfId="0" applyFont="1" applyFill="1" applyBorder="1" applyAlignment="1">
      <alignment horizontal="center"/>
    </xf>
    <xf numFmtId="3" fontId="36" fillId="9" borderId="34" xfId="0" applyNumberFormat="1" applyFont="1" applyFill="1" applyBorder="1"/>
    <xf numFmtId="10" fontId="36" fillId="9" borderId="34" xfId="1" applyNumberFormat="1" applyFont="1" applyFill="1" applyBorder="1"/>
    <xf numFmtId="0" fontId="45" fillId="25" borderId="0" xfId="0" applyFont="1" applyFill="1" applyBorder="1"/>
    <xf numFmtId="0" fontId="19" fillId="25" borderId="0" xfId="0" applyFont="1" applyFill="1"/>
    <xf numFmtId="0" fontId="12" fillId="25" borderId="0" xfId="0" applyFont="1" applyFill="1"/>
    <xf numFmtId="14" fontId="9" fillId="25" borderId="0" xfId="0" applyNumberFormat="1" applyFont="1" applyFill="1"/>
    <xf numFmtId="0" fontId="46" fillId="7" borderId="0" xfId="0" applyFont="1" applyFill="1" applyAlignment="1">
      <alignment horizontal="center"/>
    </xf>
    <xf numFmtId="0" fontId="17" fillId="9" borderId="35" xfId="0" applyFont="1" applyFill="1" applyBorder="1"/>
    <xf numFmtId="0" fontId="8" fillId="4" borderId="35" xfId="0" applyFont="1" applyFill="1" applyBorder="1" applyAlignment="1">
      <alignment horizontal="center"/>
    </xf>
    <xf numFmtId="0" fontId="8" fillId="4" borderId="30" xfId="0" applyFont="1" applyFill="1" applyBorder="1" applyAlignment="1">
      <alignment horizontal="center"/>
    </xf>
    <xf numFmtId="0" fontId="8" fillId="4" borderId="4" xfId="0" applyFont="1" applyFill="1" applyBorder="1" applyAlignment="1">
      <alignment horizontal="center"/>
    </xf>
    <xf numFmtId="0" fontId="17" fillId="9" borderId="35" xfId="0" applyFont="1" applyFill="1" applyBorder="1" applyAlignment="1">
      <alignment horizontal="center"/>
    </xf>
    <xf numFmtId="14" fontId="41" fillId="2" borderId="35" xfId="0" applyNumberFormat="1" applyFont="1" applyFill="1" applyBorder="1" applyAlignment="1">
      <alignment horizontal="center"/>
    </xf>
    <xf numFmtId="14" fontId="41" fillId="2" borderId="4" xfId="0" applyNumberFormat="1" applyFont="1" applyFill="1" applyBorder="1" applyAlignment="1">
      <alignment horizontal="center"/>
    </xf>
    <xf numFmtId="14" fontId="41" fillId="2" borderId="36" xfId="0" applyNumberFormat="1" applyFont="1" applyFill="1" applyBorder="1" applyAlignment="1">
      <alignment horizontal="center"/>
    </xf>
    <xf numFmtId="0" fontId="12" fillId="6" borderId="9" xfId="0" applyFont="1" applyFill="1" applyBorder="1"/>
    <xf numFmtId="170" fontId="7" fillId="2" borderId="9" xfId="0" applyNumberFormat="1" applyFont="1" applyFill="1" applyBorder="1" applyAlignment="1">
      <alignment horizontal="center"/>
    </xf>
    <xf numFmtId="175" fontId="12" fillId="2" borderId="44" xfId="0" applyNumberFormat="1" applyFont="1" applyFill="1" applyBorder="1" applyAlignment="1">
      <alignment horizontal="center"/>
    </xf>
    <xf numFmtId="175" fontId="12" fillId="2" borderId="48" xfId="0" applyNumberFormat="1" applyFont="1" applyFill="1" applyBorder="1" applyAlignment="1">
      <alignment horizontal="center"/>
    </xf>
    <xf numFmtId="175" fontId="12" fillId="2" borderId="2" xfId="0" applyNumberFormat="1" applyFont="1" applyFill="1" applyBorder="1" applyAlignment="1">
      <alignment horizontal="center"/>
    </xf>
    <xf numFmtId="0" fontId="15" fillId="4" borderId="9" xfId="0" applyFont="1" applyFill="1" applyBorder="1" applyAlignment="1">
      <alignment horizontal="center"/>
    </xf>
    <xf numFmtId="175" fontId="12" fillId="2" borderId="45" xfId="0" applyNumberFormat="1" applyFont="1" applyFill="1" applyBorder="1" applyAlignment="1">
      <alignment horizontal="center"/>
    </xf>
    <xf numFmtId="175" fontId="12" fillId="2" borderId="9" xfId="0" applyNumberFormat="1" applyFont="1" applyFill="1" applyBorder="1" applyAlignment="1">
      <alignment horizontal="center"/>
    </xf>
    <xf numFmtId="175" fontId="12" fillId="2" borderId="22" xfId="0" applyNumberFormat="1" applyFont="1" applyFill="1" applyBorder="1" applyAlignment="1">
      <alignment horizontal="center"/>
    </xf>
    <xf numFmtId="175" fontId="12" fillId="2" borderId="0" xfId="0" applyNumberFormat="1" applyFont="1" applyFill="1" applyBorder="1" applyAlignment="1">
      <alignment horizontal="center"/>
    </xf>
    <xf numFmtId="175" fontId="12" fillId="2" borderId="32" xfId="0" applyNumberFormat="1" applyFont="1" applyFill="1" applyBorder="1" applyAlignment="1">
      <alignment horizontal="center"/>
    </xf>
    <xf numFmtId="0" fontId="15" fillId="4" borderId="33" xfId="0" applyFont="1" applyFill="1" applyBorder="1" applyAlignment="1">
      <alignment horizontal="center"/>
    </xf>
    <xf numFmtId="175" fontId="12" fillId="2" borderId="33" xfId="0" applyNumberFormat="1" applyFont="1" applyFill="1" applyBorder="1" applyAlignment="1">
      <alignment horizontal="center"/>
    </xf>
    <xf numFmtId="175" fontId="12" fillId="2" borderId="5" xfId="0" applyNumberFormat="1" applyFont="1" applyFill="1" applyBorder="1" applyAlignment="1">
      <alignment horizontal="center"/>
    </xf>
    <xf numFmtId="175" fontId="12" fillId="2" borderId="34" xfId="0" applyNumberFormat="1" applyFont="1" applyFill="1" applyBorder="1" applyAlignment="1">
      <alignment horizontal="center"/>
    </xf>
    <xf numFmtId="0" fontId="49" fillId="4" borderId="111" xfId="0" applyFont="1" applyFill="1" applyBorder="1" applyAlignment="1">
      <alignment horizontal="left"/>
    </xf>
    <xf numFmtId="0" fontId="50" fillId="4" borderId="110" xfId="0" applyFont="1" applyFill="1" applyBorder="1" applyAlignment="1">
      <alignment horizontal="left"/>
    </xf>
    <xf numFmtId="0" fontId="51" fillId="7" borderId="112" xfId="0" applyFont="1" applyFill="1" applyBorder="1" applyAlignment="1">
      <alignment horizontal="center"/>
    </xf>
    <xf numFmtId="0" fontId="12" fillId="6" borderId="33" xfId="0" applyFont="1" applyFill="1" applyBorder="1"/>
    <xf numFmtId="0" fontId="52" fillId="17" borderId="113" xfId="0" applyFont="1" applyFill="1" applyBorder="1" applyAlignment="1">
      <alignment horizontal="left"/>
    </xf>
    <xf numFmtId="0" fontId="53" fillId="17" borderId="0" xfId="0" applyFont="1" applyFill="1" applyBorder="1" applyAlignment="1">
      <alignment horizontal="left"/>
    </xf>
    <xf numFmtId="0" fontId="7" fillId="17" borderId="0" xfId="0" applyFont="1" applyFill="1" applyBorder="1" applyAlignment="1">
      <alignment horizontal="left"/>
    </xf>
    <xf numFmtId="0" fontId="7" fillId="17" borderId="0" xfId="0" applyFont="1" applyFill="1" applyBorder="1" applyAlignment="1">
      <alignment horizontal="center"/>
    </xf>
    <xf numFmtId="3" fontId="54" fillId="7" borderId="114" xfId="0" applyNumberFormat="1" applyFont="1" applyFill="1" applyBorder="1" applyAlignment="1">
      <alignment horizontal="right"/>
    </xf>
    <xf numFmtId="0" fontId="17" fillId="11" borderId="30" xfId="0" applyFont="1" applyFill="1" applyBorder="1"/>
    <xf numFmtId="0" fontId="16" fillId="4" borderId="30" xfId="0" applyFont="1" applyFill="1" applyBorder="1"/>
    <xf numFmtId="175" fontId="12" fillId="2" borderId="35" xfId="0" applyNumberFormat="1" applyFont="1" applyFill="1" applyBorder="1" applyAlignment="1">
      <alignment horizontal="center"/>
    </xf>
    <xf numFmtId="175" fontId="12" fillId="2" borderId="30" xfId="0" applyNumberFormat="1" applyFont="1" applyFill="1" applyBorder="1" applyAlignment="1">
      <alignment horizontal="center"/>
    </xf>
    <xf numFmtId="175" fontId="12" fillId="2" borderId="4" xfId="0" applyNumberFormat="1" applyFont="1" applyFill="1" applyBorder="1" applyAlignment="1">
      <alignment horizontal="center"/>
    </xf>
    <xf numFmtId="3" fontId="54" fillId="7" borderId="115" xfId="0" applyNumberFormat="1" applyFont="1" applyFill="1" applyBorder="1" applyAlignment="1">
      <alignment horizontal="right"/>
    </xf>
    <xf numFmtId="0" fontId="52" fillId="17" borderId="116" xfId="0" applyFont="1" applyFill="1" applyBorder="1" applyAlignment="1">
      <alignment horizontal="left"/>
    </xf>
    <xf numFmtId="0" fontId="53" fillId="17" borderId="51" xfId="0" applyFont="1" applyFill="1" applyBorder="1" applyAlignment="1">
      <alignment horizontal="left"/>
    </xf>
    <xf numFmtId="0" fontId="7" fillId="17" borderId="51" xfId="0" applyFont="1" applyFill="1" applyBorder="1" applyAlignment="1">
      <alignment horizontal="left"/>
    </xf>
    <xf numFmtId="3" fontId="54" fillId="7" borderId="117" xfId="0" applyNumberFormat="1" applyFont="1" applyFill="1" applyBorder="1" applyAlignment="1">
      <alignment horizontal="right"/>
    </xf>
    <xf numFmtId="0" fontId="55" fillId="2" borderId="0" xfId="0" applyFont="1" applyFill="1"/>
    <xf numFmtId="175" fontId="12" fillId="6" borderId="22" xfId="0" applyNumberFormat="1" applyFont="1" applyFill="1" applyBorder="1" applyAlignment="1">
      <alignment horizontal="center"/>
    </xf>
    <xf numFmtId="2" fontId="40" fillId="4" borderId="30" xfId="0" applyNumberFormat="1" applyFont="1" applyFill="1" applyBorder="1" applyAlignment="1">
      <alignment horizontal="center"/>
    </xf>
    <xf numFmtId="0" fontId="56" fillId="9" borderId="35" xfId="0" applyFont="1" applyFill="1" applyBorder="1"/>
    <xf numFmtId="0" fontId="57" fillId="9" borderId="4" xfId="0" applyFont="1" applyFill="1" applyBorder="1"/>
    <xf numFmtId="0" fontId="25" fillId="9" borderId="30" xfId="0" applyFont="1" applyFill="1" applyBorder="1" applyAlignment="1">
      <alignment horizontal="center"/>
    </xf>
    <xf numFmtId="0" fontId="23" fillId="4" borderId="44" xfId="0" applyFont="1" applyFill="1" applyBorder="1"/>
    <xf numFmtId="0" fontId="21" fillId="4" borderId="2" xfId="0" applyFont="1" applyFill="1" applyBorder="1"/>
    <xf numFmtId="3" fontId="12" fillId="2" borderId="22" xfId="0" applyNumberFormat="1" applyFont="1" applyFill="1" applyBorder="1" applyAlignment="1">
      <alignment horizontal="center"/>
    </xf>
    <xf numFmtId="3" fontId="12" fillId="2" borderId="37" xfId="0" applyNumberFormat="1" applyFont="1" applyFill="1" applyBorder="1" applyAlignment="1">
      <alignment horizontal="center"/>
    </xf>
    <xf numFmtId="0" fontId="56" fillId="9" borderId="30" xfId="0" applyFont="1" applyFill="1" applyBorder="1" applyAlignment="1">
      <alignment horizontal="right"/>
    </xf>
    <xf numFmtId="9" fontId="21" fillId="6" borderId="45" xfId="0" applyNumberFormat="1" applyFont="1" applyFill="1" applyBorder="1"/>
    <xf numFmtId="0" fontId="23" fillId="4" borderId="33" xfId="0" applyFont="1" applyFill="1" applyBorder="1"/>
    <xf numFmtId="0" fontId="23" fillId="4" borderId="5" xfId="0" applyFont="1" applyFill="1" applyBorder="1"/>
    <xf numFmtId="9" fontId="21" fillId="6" borderId="34" xfId="0" applyNumberFormat="1" applyFont="1" applyFill="1" applyBorder="1"/>
    <xf numFmtId="0" fontId="38" fillId="9" borderId="33" xfId="0" applyFont="1" applyFill="1" applyBorder="1"/>
    <xf numFmtId="0" fontId="38" fillId="9" borderId="5" xfId="0" applyFont="1" applyFill="1" applyBorder="1"/>
    <xf numFmtId="3" fontId="58" fillId="9" borderId="34" xfId="0" applyNumberFormat="1" applyFont="1" applyFill="1" applyBorder="1"/>
    <xf numFmtId="0" fontId="34" fillId="2" borderId="0" xfId="0" applyFont="1" applyFill="1" applyAlignment="1">
      <alignment horizontal="center"/>
    </xf>
    <xf numFmtId="0" fontId="57" fillId="25" borderId="0" xfId="0" applyFont="1" applyFill="1" applyBorder="1"/>
    <xf numFmtId="0" fontId="61" fillId="2" borderId="0" xfId="0" applyFont="1" applyFill="1"/>
    <xf numFmtId="0" fontId="8" fillId="4" borderId="3" xfId="0" applyFont="1" applyFill="1" applyBorder="1"/>
    <xf numFmtId="0" fontId="10" fillId="2" borderId="0" xfId="0" applyFont="1" applyFill="1"/>
    <xf numFmtId="3" fontId="8" fillId="2" borderId="0" xfId="0" applyNumberFormat="1" applyFont="1" applyFill="1" applyAlignment="1">
      <alignment horizontal="right"/>
    </xf>
    <xf numFmtId="0" fontId="8" fillId="2" borderId="0" xfId="0" applyFont="1" applyFill="1" applyAlignment="1">
      <alignment horizontal="center"/>
    </xf>
    <xf numFmtId="0" fontId="7" fillId="2" borderId="0" xfId="0" quotePrefix="1" applyFont="1" applyFill="1"/>
    <xf numFmtId="0" fontId="8" fillId="2" borderId="0" xfId="0" quotePrefix="1" applyFont="1" applyFill="1"/>
    <xf numFmtId="0" fontId="8" fillId="4" borderId="4" xfId="0" applyFont="1" applyFill="1" applyBorder="1"/>
    <xf numFmtId="3" fontId="8" fillId="4" borderId="4" xfId="0" applyNumberFormat="1" applyFont="1" applyFill="1" applyBorder="1" applyAlignment="1">
      <alignment horizontal="right"/>
    </xf>
    <xf numFmtId="169" fontId="7" fillId="2" borderId="0" xfId="1" applyNumberFormat="1" applyFont="1" applyFill="1" applyAlignment="1">
      <alignment horizontal="right"/>
    </xf>
    <xf numFmtId="0" fontId="7" fillId="2" borderId="1" xfId="0" quotePrefix="1" applyFont="1" applyFill="1" applyBorder="1"/>
    <xf numFmtId="3" fontId="7" fillId="2" borderId="1" xfId="0" applyNumberFormat="1" applyFont="1" applyFill="1" applyBorder="1" applyAlignment="1">
      <alignment horizontal="right"/>
    </xf>
    <xf numFmtId="0" fontId="8" fillId="2" borderId="35" xfId="0" applyFont="1" applyFill="1" applyBorder="1"/>
    <xf numFmtId="0" fontId="7" fillId="2" borderId="4" xfId="0" applyFont="1" applyFill="1" applyBorder="1" applyAlignment="1">
      <alignment horizontal="center"/>
    </xf>
    <xf numFmtId="3" fontId="7" fillId="2" borderId="4" xfId="0" applyNumberFormat="1" applyFont="1" applyFill="1" applyBorder="1" applyAlignment="1">
      <alignment horizontal="right"/>
    </xf>
    <xf numFmtId="0" fontId="7" fillId="2" borderId="0" xfId="0" applyFont="1" applyFill="1" applyBorder="1" applyAlignment="1">
      <alignment horizontal="right"/>
    </xf>
    <xf numFmtId="0" fontId="12" fillId="2" borderId="1" xfId="0" applyFont="1" applyFill="1" applyBorder="1"/>
    <xf numFmtId="0" fontId="15" fillId="2" borderId="0" xfId="0" applyFont="1" applyFill="1" applyBorder="1"/>
    <xf numFmtId="0" fontId="15" fillId="2" borderId="0" xfId="0" applyFont="1" applyFill="1" applyBorder="1" applyAlignment="1">
      <alignment horizontal="right"/>
    </xf>
    <xf numFmtId="0" fontId="16" fillId="2" borderId="0" xfId="3" applyFont="1" applyFill="1" applyBorder="1" applyAlignment="1">
      <alignment horizontal="center"/>
    </xf>
    <xf numFmtId="0" fontId="14" fillId="2" borderId="0" xfId="0" applyFont="1" applyFill="1"/>
    <xf numFmtId="169" fontId="7" fillId="7" borderId="0" xfId="1" applyNumberFormat="1" applyFont="1" applyFill="1" applyAlignment="1">
      <alignment horizontal="right"/>
    </xf>
    <xf numFmtId="10" fontId="14" fillId="2" borderId="0" xfId="3" applyNumberFormat="1" applyFont="1" applyFill="1" applyBorder="1" applyAlignment="1">
      <alignment horizontal="center"/>
    </xf>
    <xf numFmtId="169" fontId="7" fillId="2" borderId="5" xfId="1" applyNumberFormat="1" applyFont="1" applyFill="1" applyBorder="1" applyAlignment="1">
      <alignment horizontal="right"/>
    </xf>
    <xf numFmtId="169" fontId="16" fillId="2" borderId="0" xfId="1" applyNumberFormat="1" applyFont="1" applyFill="1" applyBorder="1" applyAlignment="1">
      <alignment horizontal="center"/>
    </xf>
    <xf numFmtId="0" fontId="14" fillId="2" borderId="0" xfId="0" applyFont="1" applyFill="1" applyBorder="1"/>
    <xf numFmtId="0" fontId="14" fillId="2" borderId="0" xfId="3" applyFont="1" applyFill="1" applyBorder="1" applyAlignment="1"/>
    <xf numFmtId="173" fontId="16" fillId="2" borderId="0" xfId="2" applyNumberFormat="1" applyFont="1" applyFill="1" applyBorder="1" applyAlignment="1">
      <alignment horizontal="center"/>
    </xf>
    <xf numFmtId="0" fontId="39" fillId="2" borderId="30" xfId="0" applyFont="1" applyFill="1" applyBorder="1" applyAlignment="1">
      <alignment horizontal="center"/>
    </xf>
    <xf numFmtId="0" fontId="39" fillId="2" borderId="30" xfId="0" applyFont="1" applyFill="1" applyBorder="1" applyAlignment="1">
      <alignment horizontal="right"/>
    </xf>
    <xf numFmtId="0" fontId="14" fillId="2" borderId="30" xfId="0" applyFont="1" applyFill="1" applyBorder="1"/>
    <xf numFmtId="3" fontId="7" fillId="7" borderId="30" xfId="0" applyNumberFormat="1" applyFont="1" applyFill="1" applyBorder="1" applyAlignment="1">
      <alignment horizontal="center"/>
    </xf>
    <xf numFmtId="169" fontId="7" fillId="2" borderId="30" xfId="1" applyNumberFormat="1" applyFont="1" applyFill="1" applyBorder="1" applyAlignment="1">
      <alignment horizontal="right"/>
    </xf>
    <xf numFmtId="0" fontId="7" fillId="4" borderId="44" xfId="0" applyFont="1" applyFill="1" applyBorder="1"/>
    <xf numFmtId="0" fontId="8" fillId="4" borderId="2" xfId="0" applyFont="1" applyFill="1" applyBorder="1" applyAlignment="1">
      <alignment horizontal="center"/>
    </xf>
    <xf numFmtId="0" fontId="7" fillId="4" borderId="45" xfId="0" applyFont="1" applyFill="1" applyBorder="1"/>
    <xf numFmtId="0" fontId="8" fillId="4" borderId="45" xfId="0" applyFont="1" applyFill="1" applyBorder="1" applyAlignment="1">
      <alignment horizontal="center"/>
    </xf>
    <xf numFmtId="0" fontId="8" fillId="4" borderId="45" xfId="0" applyFont="1" applyFill="1" applyBorder="1"/>
    <xf numFmtId="0" fontId="8" fillId="4" borderId="126" xfId="0" applyFont="1" applyFill="1" applyBorder="1"/>
    <xf numFmtId="0" fontId="8" fillId="4" borderId="127" xfId="0" applyFont="1" applyFill="1" applyBorder="1" applyAlignment="1">
      <alignment horizontal="center"/>
    </xf>
    <xf numFmtId="0" fontId="8" fillId="4" borderId="128" xfId="0" applyFont="1" applyFill="1" applyBorder="1" applyAlignment="1">
      <alignment horizontal="center"/>
    </xf>
    <xf numFmtId="9" fontId="7" fillId="2" borderId="32" xfId="0" applyNumberFormat="1" applyFont="1" applyFill="1" applyBorder="1" applyAlignment="1">
      <alignment horizontal="center"/>
    </xf>
    <xf numFmtId="166" fontId="7" fillId="2" borderId="32" xfId="2" applyFont="1" applyFill="1" applyBorder="1" applyAlignment="1">
      <alignment horizontal="center"/>
    </xf>
    <xf numFmtId="9" fontId="7" fillId="2" borderId="34" xfId="0" applyNumberFormat="1" applyFont="1" applyFill="1" applyBorder="1" applyAlignment="1">
      <alignment horizontal="center"/>
    </xf>
    <xf numFmtId="166" fontId="7" fillId="2" borderId="34" xfId="2" applyFont="1" applyFill="1" applyBorder="1" applyAlignment="1">
      <alignment horizontal="center"/>
    </xf>
    <xf numFmtId="166" fontId="7" fillId="2" borderId="4" xfId="2" applyFont="1" applyFill="1" applyBorder="1"/>
    <xf numFmtId="9" fontId="7" fillId="2" borderId="36" xfId="0" applyNumberFormat="1" applyFont="1" applyFill="1" applyBorder="1" applyAlignment="1">
      <alignment horizontal="center"/>
    </xf>
    <xf numFmtId="166" fontId="7" fillId="2" borderId="36" xfId="2" applyFont="1" applyFill="1" applyBorder="1" applyAlignment="1">
      <alignment horizontal="center"/>
    </xf>
    <xf numFmtId="0" fontId="8" fillId="2" borderId="9" xfId="0" applyFont="1" applyFill="1" applyBorder="1" applyAlignment="1">
      <alignment horizontal="left"/>
    </xf>
    <xf numFmtId="2" fontId="7" fillId="2" borderId="32" xfId="0" applyNumberFormat="1" applyFont="1" applyFill="1" applyBorder="1" applyAlignment="1">
      <alignment horizontal="center"/>
    </xf>
    <xf numFmtId="0" fontId="8" fillId="4" borderId="35" xfId="0" applyFont="1" applyFill="1" applyBorder="1" applyAlignment="1">
      <alignment horizontal="left"/>
    </xf>
    <xf numFmtId="0" fontId="25" fillId="20" borderId="91" xfId="0" applyFont="1" applyFill="1" applyBorder="1"/>
    <xf numFmtId="0" fontId="9" fillId="20" borderId="93" xfId="0" applyFont="1" applyFill="1" applyBorder="1" applyAlignment="1">
      <alignment horizontal="right"/>
    </xf>
    <xf numFmtId="0" fontId="9" fillId="20" borderId="61" xfId="0" applyFont="1" applyFill="1" applyBorder="1" applyAlignment="1">
      <alignment horizontal="right"/>
    </xf>
    <xf numFmtId="0" fontId="9" fillId="20" borderId="119" xfId="0" applyFont="1" applyFill="1" applyBorder="1" applyAlignment="1">
      <alignment horizontal="right"/>
    </xf>
    <xf numFmtId="0" fontId="9" fillId="20" borderId="63" xfId="0" applyFont="1" applyFill="1" applyBorder="1" applyAlignment="1">
      <alignment horizontal="right"/>
    </xf>
    <xf numFmtId="0" fontId="8" fillId="2" borderId="15" xfId="0" applyFont="1" applyFill="1" applyBorder="1"/>
    <xf numFmtId="3" fontId="8" fillId="2" borderId="9" xfId="0" applyNumberFormat="1" applyFont="1" applyFill="1" applyBorder="1" applyAlignment="1">
      <alignment horizontal="right"/>
    </xf>
    <xf numFmtId="3" fontId="8" fillId="2" borderId="0" xfId="0" applyNumberFormat="1" applyFont="1" applyFill="1" applyBorder="1" applyAlignment="1">
      <alignment horizontal="right"/>
    </xf>
    <xf numFmtId="3" fontId="8" fillId="2" borderId="32" xfId="0" applyNumberFormat="1" applyFont="1" applyFill="1" applyBorder="1" applyAlignment="1">
      <alignment horizontal="right"/>
    </xf>
    <xf numFmtId="3" fontId="8" fillId="2" borderId="16" xfId="0" applyNumberFormat="1" applyFont="1" applyFill="1" applyBorder="1" applyAlignment="1">
      <alignment horizontal="right"/>
    </xf>
    <xf numFmtId="0" fontId="7" fillId="2" borderId="15" xfId="0" applyFont="1" applyFill="1" applyBorder="1"/>
    <xf numFmtId="3" fontId="7" fillId="2" borderId="9" xfId="0" applyNumberFormat="1" applyFont="1" applyFill="1" applyBorder="1" applyAlignment="1">
      <alignment horizontal="right"/>
    </xf>
    <xf numFmtId="3" fontId="7" fillId="2" borderId="0" xfId="0" applyNumberFormat="1" applyFont="1" applyFill="1" applyBorder="1" applyAlignment="1">
      <alignment horizontal="right"/>
    </xf>
    <xf numFmtId="3" fontId="7" fillId="2" borderId="32" xfId="0" applyNumberFormat="1" applyFont="1" applyFill="1" applyBorder="1" applyAlignment="1">
      <alignment horizontal="right"/>
    </xf>
    <xf numFmtId="3" fontId="7" fillId="2" borderId="16" xfId="0" applyNumberFormat="1" applyFont="1" applyFill="1" applyBorder="1" applyAlignment="1">
      <alignment horizontal="right"/>
    </xf>
    <xf numFmtId="0" fontId="8" fillId="4" borderId="15" xfId="0" applyFont="1" applyFill="1" applyBorder="1"/>
    <xf numFmtId="0" fontId="8" fillId="4" borderId="14" xfId="0" applyFont="1" applyFill="1" applyBorder="1"/>
    <xf numFmtId="3" fontId="8" fillId="2" borderId="8" xfId="0" applyNumberFormat="1" applyFont="1" applyFill="1" applyBorder="1" applyAlignment="1">
      <alignment horizontal="right"/>
    </xf>
    <xf numFmtId="3" fontId="8" fillId="2" borderId="1" xfId="0" applyNumberFormat="1" applyFont="1" applyFill="1" applyBorder="1" applyAlignment="1">
      <alignment horizontal="right"/>
    </xf>
    <xf numFmtId="3" fontId="8" fillId="2" borderId="49" xfId="0" applyNumberFormat="1" applyFont="1" applyFill="1" applyBorder="1" applyAlignment="1">
      <alignment horizontal="right"/>
    </xf>
    <xf numFmtId="3" fontId="7" fillId="2" borderId="90" xfId="0" applyNumberFormat="1" applyFont="1" applyFill="1" applyBorder="1" applyAlignment="1">
      <alignment horizontal="right"/>
    </xf>
    <xf numFmtId="0" fontId="8" fillId="5" borderId="12" xfId="0" applyFont="1" applyFill="1" applyBorder="1"/>
    <xf numFmtId="169" fontId="8" fillId="5" borderId="7" xfId="1" applyNumberFormat="1" applyFont="1" applyFill="1" applyBorder="1" applyAlignment="1">
      <alignment horizontal="right"/>
    </xf>
    <xf numFmtId="169" fontId="8" fillId="5" borderId="6" xfId="1" applyNumberFormat="1" applyFont="1" applyFill="1" applyBorder="1" applyAlignment="1">
      <alignment horizontal="right"/>
    </xf>
    <xf numFmtId="169" fontId="8" fillId="5" borderId="92" xfId="1" applyNumberFormat="1" applyFont="1" applyFill="1" applyBorder="1" applyAlignment="1">
      <alignment horizontal="right"/>
    </xf>
    <xf numFmtId="169" fontId="8" fillId="5" borderId="13" xfId="1" applyNumberFormat="1" applyFont="1" applyFill="1" applyBorder="1" applyAlignment="1">
      <alignment horizontal="right"/>
    </xf>
    <xf numFmtId="169" fontId="7" fillId="2" borderId="9" xfId="1" applyNumberFormat="1" applyFont="1" applyFill="1" applyBorder="1" applyAlignment="1">
      <alignment horizontal="right"/>
    </xf>
    <xf numFmtId="169" fontId="7" fillId="2" borderId="0" xfId="1" applyNumberFormat="1" applyFont="1" applyFill="1" applyBorder="1" applyAlignment="1">
      <alignment horizontal="right"/>
    </xf>
    <xf numFmtId="169" fontId="7" fillId="2" borderId="32" xfId="1" applyNumberFormat="1" applyFont="1" applyFill="1" applyBorder="1" applyAlignment="1">
      <alignment horizontal="right"/>
    </xf>
    <xf numFmtId="169" fontId="7" fillId="2" borderId="16" xfId="1" applyNumberFormat="1" applyFont="1" applyFill="1" applyBorder="1" applyAlignment="1">
      <alignment horizontal="right"/>
    </xf>
    <xf numFmtId="0" fontId="8" fillId="5" borderId="15" xfId="0" applyFont="1" applyFill="1" applyBorder="1"/>
    <xf numFmtId="169" fontId="8" fillId="5" borderId="9" xfId="1" applyNumberFormat="1" applyFont="1" applyFill="1" applyBorder="1" applyAlignment="1">
      <alignment horizontal="right"/>
    </xf>
    <xf numFmtId="169" fontId="8" fillId="5" borderId="0" xfId="1" applyNumberFormat="1" applyFont="1" applyFill="1" applyBorder="1" applyAlignment="1">
      <alignment horizontal="right"/>
    </xf>
    <xf numFmtId="169" fontId="8" fillId="5" borderId="32" xfId="1" applyNumberFormat="1" applyFont="1" applyFill="1" applyBorder="1" applyAlignment="1">
      <alignment horizontal="right"/>
    </xf>
    <xf numFmtId="169" fontId="8" fillId="5" borderId="16" xfId="1" applyNumberFormat="1" applyFont="1" applyFill="1" applyBorder="1" applyAlignment="1">
      <alignment horizontal="right"/>
    </xf>
    <xf numFmtId="0" fontId="8" fillId="5" borderId="14" xfId="0" applyFont="1" applyFill="1" applyBorder="1"/>
    <xf numFmtId="169" fontId="8" fillId="5" borderId="8" xfId="1" applyNumberFormat="1" applyFont="1" applyFill="1" applyBorder="1" applyAlignment="1">
      <alignment horizontal="right"/>
    </xf>
    <xf numFmtId="169" fontId="8" fillId="5" borderId="1" xfId="1" applyNumberFormat="1" applyFont="1" applyFill="1" applyBorder="1" applyAlignment="1">
      <alignment horizontal="right"/>
    </xf>
    <xf numFmtId="169" fontId="8" fillId="5" borderId="49" xfId="1" applyNumberFormat="1" applyFont="1" applyFill="1" applyBorder="1" applyAlignment="1">
      <alignment horizontal="right"/>
    </xf>
    <xf numFmtId="169" fontId="8" fillId="5" borderId="90" xfId="1" applyNumberFormat="1" applyFont="1" applyFill="1" applyBorder="1" applyAlignment="1">
      <alignment horizontal="right"/>
    </xf>
    <xf numFmtId="0" fontId="14" fillId="6" borderId="30" xfId="0" applyFont="1" applyFill="1" applyBorder="1" applyProtection="1"/>
    <xf numFmtId="0" fontId="14" fillId="0" borderId="0" xfId="0" quotePrefix="1" applyFont="1" applyFill="1" applyProtection="1"/>
    <xf numFmtId="0" fontId="14" fillId="0" borderId="0" xfId="0" applyFont="1" applyFill="1" applyProtection="1"/>
    <xf numFmtId="0" fontId="14" fillId="8" borderId="30" xfId="0" applyFont="1" applyFill="1" applyBorder="1" applyProtection="1"/>
    <xf numFmtId="0" fontId="14" fillId="0" borderId="30" xfId="0" applyFont="1" applyFill="1" applyBorder="1" applyProtection="1"/>
    <xf numFmtId="0" fontId="64" fillId="2" borderId="0" xfId="0" applyFont="1" applyFill="1"/>
    <xf numFmtId="0" fontId="65" fillId="9" borderId="50" xfId="0" applyFont="1" applyFill="1" applyBorder="1"/>
    <xf numFmtId="0" fontId="67" fillId="2" borderId="0" xfId="0" applyFont="1" applyFill="1" applyBorder="1" applyAlignment="1">
      <alignment horizontal="right"/>
    </xf>
    <xf numFmtId="0" fontId="68" fillId="2" borderId="0" xfId="0" applyFont="1" applyFill="1" applyBorder="1" applyAlignment="1">
      <alignment horizontal="right"/>
    </xf>
    <xf numFmtId="0" fontId="67" fillId="2" borderId="0" xfId="0" applyFont="1" applyFill="1" applyBorder="1"/>
    <xf numFmtId="0" fontId="12" fillId="2" borderId="10" xfId="0" applyFont="1" applyFill="1" applyBorder="1"/>
    <xf numFmtId="49" fontId="15" fillId="2" borderId="31" xfId="0" applyNumberFormat="1" applyFont="1" applyFill="1" applyBorder="1" applyAlignment="1">
      <alignment horizontal="center"/>
    </xf>
    <xf numFmtId="3" fontId="7" fillId="2" borderId="22" xfId="0" applyNumberFormat="1" applyFont="1" applyFill="1" applyBorder="1" applyAlignment="1">
      <alignment horizontal="right"/>
    </xf>
    <xf numFmtId="3" fontId="7" fillId="2" borderId="92" xfId="0" applyNumberFormat="1" applyFont="1" applyFill="1" applyBorder="1" applyAlignment="1">
      <alignment horizontal="right"/>
    </xf>
    <xf numFmtId="169" fontId="7" fillId="2" borderId="34" xfId="1" applyNumberFormat="1" applyFont="1" applyFill="1" applyBorder="1" applyAlignment="1">
      <alignment horizontal="right"/>
    </xf>
    <xf numFmtId="0" fontId="7" fillId="2" borderId="35" xfId="0" applyFont="1" applyFill="1" applyBorder="1"/>
    <xf numFmtId="169" fontId="7" fillId="7" borderId="30" xfId="0" applyNumberFormat="1" applyFont="1" applyFill="1" applyBorder="1" applyAlignment="1">
      <alignment horizontal="right"/>
    </xf>
    <xf numFmtId="49" fontId="8" fillId="2" borderId="1" xfId="0" applyNumberFormat="1" applyFont="1" applyFill="1" applyBorder="1" applyAlignment="1">
      <alignment horizontal="right"/>
    </xf>
    <xf numFmtId="0" fontId="8" fillId="2" borderId="1" xfId="0" applyFont="1" applyFill="1" applyBorder="1" applyAlignment="1">
      <alignment horizontal="right"/>
    </xf>
    <xf numFmtId="0" fontId="8" fillId="2" borderId="1" xfId="0" applyFont="1" applyFill="1" applyBorder="1" applyAlignment="1">
      <alignment horizontal="center"/>
    </xf>
    <xf numFmtId="169" fontId="7" fillId="6" borderId="24" xfId="0" applyNumberFormat="1" applyFont="1" applyFill="1" applyBorder="1" applyAlignment="1">
      <alignment horizontal="right"/>
    </xf>
    <xf numFmtId="169" fontId="7" fillId="6" borderId="20" xfId="0" applyNumberFormat="1" applyFont="1" applyFill="1" applyBorder="1" applyAlignment="1">
      <alignment horizontal="right"/>
    </xf>
    <xf numFmtId="3" fontId="7" fillId="2" borderId="10" xfId="0" applyNumberFormat="1" applyFont="1" applyFill="1" applyBorder="1" applyAlignment="1">
      <alignment horizontal="right"/>
    </xf>
    <xf numFmtId="3" fontId="7" fillId="2" borderId="3" xfId="0" applyNumberFormat="1" applyFont="1" applyFill="1" applyBorder="1" applyAlignment="1">
      <alignment horizontal="right"/>
    </xf>
    <xf numFmtId="0" fontId="7" fillId="2" borderId="31" xfId="0" applyFont="1" applyFill="1" applyBorder="1"/>
    <xf numFmtId="49" fontId="8" fillId="2" borderId="0" xfId="0" applyNumberFormat="1" applyFont="1" applyFill="1" applyAlignment="1">
      <alignment horizontal="right"/>
    </xf>
    <xf numFmtId="3" fontId="7" fillId="6" borderId="24" xfId="0" applyNumberFormat="1" applyFont="1" applyFill="1" applyBorder="1" applyAlignment="1">
      <alignment horizontal="right"/>
    </xf>
    <xf numFmtId="3" fontId="7" fillId="6" borderId="20" xfId="0" applyNumberFormat="1" applyFont="1" applyFill="1" applyBorder="1" applyAlignment="1">
      <alignment horizontal="right"/>
    </xf>
    <xf numFmtId="169" fontId="7" fillId="2" borderId="10" xfId="0" applyNumberFormat="1" applyFont="1" applyFill="1" applyBorder="1" applyAlignment="1">
      <alignment horizontal="right"/>
    </xf>
    <xf numFmtId="169" fontId="7" fillId="2" borderId="3" xfId="1" applyNumberFormat="1" applyFont="1" applyFill="1" applyBorder="1" applyAlignment="1">
      <alignment horizontal="right"/>
    </xf>
    <xf numFmtId="0" fontId="8" fillId="7" borderId="23" xfId="0" applyFont="1" applyFill="1" applyBorder="1" applyAlignment="1">
      <alignment horizontal="right"/>
    </xf>
    <xf numFmtId="49" fontId="8" fillId="7" borderId="3" xfId="0" applyNumberFormat="1" applyFont="1" applyFill="1" applyBorder="1" applyAlignment="1">
      <alignment horizontal="right"/>
    </xf>
    <xf numFmtId="0" fontId="8" fillId="7" borderId="3" xfId="0" applyFont="1" applyFill="1" applyBorder="1" applyAlignment="1">
      <alignment horizontal="right"/>
    </xf>
    <xf numFmtId="0" fontId="8" fillId="7" borderId="31" xfId="0" applyFont="1" applyFill="1" applyBorder="1" applyAlignment="1">
      <alignment horizontal="right"/>
    </xf>
    <xf numFmtId="0" fontId="62" fillId="9" borderId="59" xfId="0" applyFont="1" applyFill="1" applyBorder="1"/>
    <xf numFmtId="0" fontId="12" fillId="2" borderId="21" xfId="0" applyFont="1" applyFill="1" applyBorder="1"/>
    <xf numFmtId="3" fontId="12" fillId="7" borderId="21" xfId="0" applyNumberFormat="1" applyFont="1" applyFill="1" applyBorder="1"/>
    <xf numFmtId="3" fontId="12" fillId="7" borderId="6" xfId="1" applyNumberFormat="1" applyFont="1" applyFill="1" applyBorder="1"/>
    <xf numFmtId="3" fontId="12" fillId="7" borderId="32" xfId="1" applyNumberFormat="1" applyFont="1" applyFill="1" applyBorder="1"/>
    <xf numFmtId="0" fontId="62" fillId="9" borderId="58" xfId="0" applyFont="1" applyFill="1" applyBorder="1"/>
    <xf numFmtId="0" fontId="12" fillId="2" borderId="22" xfId="0" applyFont="1" applyFill="1" applyBorder="1"/>
    <xf numFmtId="3" fontId="12" fillId="7" borderId="22" xfId="0" applyNumberFormat="1" applyFont="1" applyFill="1" applyBorder="1"/>
    <xf numFmtId="3" fontId="12" fillId="7" borderId="0" xfId="1" applyNumberFormat="1" applyFont="1" applyFill="1" applyBorder="1"/>
    <xf numFmtId="0" fontId="12" fillId="2" borderId="37" xfId="0" applyFont="1" applyFill="1" applyBorder="1"/>
    <xf numFmtId="3" fontId="12" fillId="7" borderId="37" xfId="0" applyNumberFormat="1" applyFont="1" applyFill="1" applyBorder="1"/>
    <xf numFmtId="3" fontId="12" fillId="7" borderId="5" xfId="1" applyNumberFormat="1" applyFont="1" applyFill="1" applyBorder="1"/>
    <xf numFmtId="3" fontId="12" fillId="7" borderId="34" xfId="1" applyNumberFormat="1" applyFont="1" applyFill="1" applyBorder="1"/>
    <xf numFmtId="1" fontId="12" fillId="6" borderId="30" xfId="0" applyNumberFormat="1" applyFont="1" applyFill="1" applyBorder="1" applyAlignment="1">
      <alignment horizontal="center"/>
    </xf>
    <xf numFmtId="3" fontId="12" fillId="2" borderId="4" xfId="0" applyNumberFormat="1" applyFont="1" applyFill="1" applyBorder="1"/>
    <xf numFmtId="3" fontId="12" fillId="2" borderId="36" xfId="0" applyNumberFormat="1" applyFont="1" applyFill="1" applyBorder="1"/>
    <xf numFmtId="3" fontId="12" fillId="2" borderId="75" xfId="0" applyNumberFormat="1" applyFont="1" applyFill="1" applyBorder="1" applyAlignment="1">
      <alignment horizontal="right"/>
    </xf>
    <xf numFmtId="3" fontId="12" fillId="2" borderId="55" xfId="0" applyNumberFormat="1" applyFont="1" applyFill="1" applyBorder="1" applyAlignment="1">
      <alignment horizontal="right"/>
    </xf>
    <xf numFmtId="0" fontId="15" fillId="2" borderId="10" xfId="0" applyFont="1" applyFill="1" applyBorder="1"/>
    <xf numFmtId="49" fontId="15" fillId="2" borderId="10" xfId="0" applyNumberFormat="1" applyFont="1" applyFill="1" applyBorder="1"/>
    <xf numFmtId="49" fontId="15" fillId="2" borderId="3" xfId="0" applyNumberFormat="1" applyFont="1" applyFill="1" applyBorder="1"/>
    <xf numFmtId="49" fontId="15" fillId="2" borderId="31" xfId="0" applyNumberFormat="1" applyFont="1" applyFill="1" applyBorder="1"/>
    <xf numFmtId="3" fontId="12" fillId="7" borderId="22" xfId="0" applyNumberFormat="1" applyFont="1" applyFill="1" applyBorder="1" applyAlignment="1">
      <alignment horizontal="right"/>
    </xf>
    <xf numFmtId="168" fontId="12" fillId="7" borderId="33" xfId="0" applyNumberFormat="1" applyFont="1" applyFill="1" applyBorder="1"/>
    <xf numFmtId="168" fontId="12" fillId="7" borderId="5" xfId="0" applyNumberFormat="1" applyFont="1" applyFill="1" applyBorder="1"/>
    <xf numFmtId="168" fontId="12" fillId="7" borderId="34" xfId="0" applyNumberFormat="1" applyFont="1" applyFill="1" applyBorder="1"/>
    <xf numFmtId="169" fontId="12" fillId="2" borderId="33" xfId="1" applyNumberFormat="1" applyFont="1" applyFill="1" applyBorder="1"/>
    <xf numFmtId="169" fontId="12" fillId="2" borderId="5" xfId="1" applyNumberFormat="1" applyFont="1" applyFill="1" applyBorder="1"/>
    <xf numFmtId="169" fontId="12" fillId="2" borderId="34" xfId="1" applyNumberFormat="1" applyFont="1" applyFill="1" applyBorder="1"/>
    <xf numFmtId="0" fontId="15" fillId="7" borderId="23" xfId="0" applyFont="1" applyFill="1" applyBorder="1" applyAlignment="1">
      <alignment horizontal="right"/>
    </xf>
    <xf numFmtId="49" fontId="15" fillId="7" borderId="10" xfId="0" applyNumberFormat="1" applyFont="1" applyFill="1" applyBorder="1" applyAlignment="1">
      <alignment horizontal="right"/>
    </xf>
    <xf numFmtId="0" fontId="15" fillId="7" borderId="3" xfId="0" applyFont="1" applyFill="1" applyBorder="1" applyAlignment="1">
      <alignment horizontal="right"/>
    </xf>
    <xf numFmtId="0" fontId="15" fillId="7" borderId="31" xfId="0" applyFont="1" applyFill="1" applyBorder="1" applyAlignment="1">
      <alignment horizontal="right"/>
    </xf>
    <xf numFmtId="3" fontId="12" fillId="7" borderId="21" xfId="0" applyNumberFormat="1" applyFont="1" applyFill="1" applyBorder="1" applyAlignment="1">
      <alignment horizontal="right"/>
    </xf>
    <xf numFmtId="3" fontId="12" fillId="7" borderId="6" xfId="1" applyNumberFormat="1" applyFont="1" applyFill="1" applyBorder="1" applyAlignment="1">
      <alignment horizontal="right"/>
    </xf>
    <xf numFmtId="3" fontId="12" fillId="7" borderId="32" xfId="1" applyNumberFormat="1" applyFont="1" applyFill="1" applyBorder="1" applyAlignment="1">
      <alignment horizontal="right"/>
    </xf>
    <xf numFmtId="3" fontId="12" fillId="7" borderId="0" xfId="1" applyNumberFormat="1" applyFont="1" applyFill="1" applyBorder="1" applyAlignment="1">
      <alignment horizontal="right"/>
    </xf>
    <xf numFmtId="3" fontId="12" fillId="7" borderId="37" xfId="0" applyNumberFormat="1" applyFont="1" applyFill="1" applyBorder="1" applyAlignment="1">
      <alignment horizontal="right"/>
    </xf>
    <xf numFmtId="3" fontId="12" fillId="7" borderId="5" xfId="1" applyNumberFormat="1" applyFont="1" applyFill="1" applyBorder="1" applyAlignment="1">
      <alignment horizontal="right"/>
    </xf>
    <xf numFmtId="3" fontId="12" fillId="7" borderId="34" xfId="1" applyNumberFormat="1" applyFont="1" applyFill="1" applyBorder="1" applyAlignment="1">
      <alignment horizontal="right"/>
    </xf>
    <xf numFmtId="0" fontId="63" fillId="4" borderId="91" xfId="0" applyFont="1" applyFill="1" applyBorder="1"/>
    <xf numFmtId="0" fontId="63" fillId="7" borderId="63" xfId="0" applyFont="1" applyFill="1" applyBorder="1" applyAlignment="1">
      <alignment horizontal="center"/>
    </xf>
    <xf numFmtId="0" fontId="14" fillId="2" borderId="0" xfId="3" applyFont="1" applyFill="1" applyAlignment="1">
      <alignment horizontal="right"/>
    </xf>
    <xf numFmtId="14" fontId="17" fillId="14" borderId="60" xfId="3" applyNumberFormat="1" applyFont="1" applyFill="1" applyBorder="1" applyAlignment="1"/>
    <xf numFmtId="49" fontId="16" fillId="13" borderId="61" xfId="3" applyNumberFormat="1" applyFont="1" applyFill="1" applyBorder="1" applyAlignment="1">
      <alignment horizontal="right"/>
    </xf>
    <xf numFmtId="0" fontId="16" fillId="13" borderId="62" xfId="3" applyFont="1" applyFill="1" applyBorder="1" applyAlignment="1">
      <alignment horizontal="right"/>
    </xf>
    <xf numFmtId="0" fontId="16" fillId="13" borderId="61" xfId="3" applyFont="1" applyFill="1" applyBorder="1" applyAlignment="1">
      <alignment horizontal="right"/>
    </xf>
    <xf numFmtId="3" fontId="16" fillId="13" borderId="62" xfId="3" applyNumberFormat="1" applyFont="1" applyFill="1" applyBorder="1" applyAlignment="1">
      <alignment horizontal="right"/>
    </xf>
    <xf numFmtId="3" fontId="16" fillId="13" borderId="61" xfId="3" applyNumberFormat="1" applyFont="1" applyFill="1" applyBorder="1" applyAlignment="1">
      <alignment horizontal="right"/>
    </xf>
    <xf numFmtId="3" fontId="16" fillId="13" borderId="83" xfId="3" applyNumberFormat="1" applyFont="1" applyFill="1" applyBorder="1" applyAlignment="1">
      <alignment horizontal="right"/>
    </xf>
    <xf numFmtId="0" fontId="12" fillId="0" borderId="0" xfId="0" applyFont="1"/>
    <xf numFmtId="0" fontId="16" fillId="13" borderId="82" xfId="3" applyFont="1" applyFill="1" applyBorder="1" applyAlignment="1"/>
    <xf numFmtId="0" fontId="12" fillId="0" borderId="0" xfId="0" applyFont="1" applyBorder="1"/>
    <xf numFmtId="0" fontId="12" fillId="0" borderId="22" xfId="0" applyFont="1" applyBorder="1"/>
    <xf numFmtId="3" fontId="16" fillId="13" borderId="85" xfId="3" applyNumberFormat="1" applyFont="1" applyFill="1" applyBorder="1" applyAlignment="1">
      <alignment horizontal="right"/>
    </xf>
    <xf numFmtId="0" fontId="17" fillId="15" borderId="65" xfId="3" applyFont="1" applyFill="1" applyBorder="1" applyAlignment="1"/>
    <xf numFmtId="0" fontId="17" fillId="15" borderId="4" xfId="3" applyFont="1" applyFill="1" applyBorder="1" applyAlignment="1">
      <alignment horizontal="right"/>
    </xf>
    <xf numFmtId="0" fontId="17" fillId="15" borderId="30" xfId="3" applyFont="1" applyFill="1" applyBorder="1" applyAlignment="1">
      <alignment horizontal="right"/>
    </xf>
    <xf numFmtId="0" fontId="62" fillId="15" borderId="4" xfId="3" applyFont="1" applyFill="1" applyBorder="1" applyAlignment="1">
      <alignment horizontal="right"/>
    </xf>
    <xf numFmtId="0" fontId="62" fillId="15" borderId="30" xfId="3" applyFont="1" applyFill="1" applyBorder="1" applyAlignment="1">
      <alignment horizontal="right"/>
    </xf>
    <xf numFmtId="0" fontId="62" fillId="15" borderId="86" xfId="3" applyFont="1" applyFill="1" applyBorder="1" applyAlignment="1">
      <alignment horizontal="right"/>
    </xf>
    <xf numFmtId="0" fontId="14" fillId="13" borderId="67" xfId="3" applyFont="1" applyFill="1" applyBorder="1" applyAlignment="1"/>
    <xf numFmtId="165" fontId="14" fillId="13" borderId="38" xfId="2" applyNumberFormat="1" applyFont="1" applyFill="1" applyBorder="1" applyAlignment="1">
      <alignment horizontal="right"/>
    </xf>
    <xf numFmtId="165" fontId="14" fillId="13" borderId="46" xfId="2" applyNumberFormat="1" applyFont="1" applyFill="1" applyBorder="1" applyAlignment="1">
      <alignment horizontal="right"/>
    </xf>
    <xf numFmtId="165" fontId="14" fillId="13" borderId="68" xfId="2" applyNumberFormat="1" applyFont="1" applyFill="1" applyBorder="1" applyAlignment="1">
      <alignment horizontal="right"/>
    </xf>
    <xf numFmtId="0" fontId="14" fillId="13" borderId="69" xfId="3" applyFont="1" applyFill="1" applyBorder="1" applyAlignment="1"/>
    <xf numFmtId="165" fontId="14" fillId="13" borderId="18" xfId="2" applyNumberFormat="1" applyFont="1" applyFill="1" applyBorder="1" applyAlignment="1">
      <alignment horizontal="right"/>
    </xf>
    <xf numFmtId="165" fontId="14" fillId="13" borderId="47" xfId="2" applyNumberFormat="1" applyFont="1" applyFill="1" applyBorder="1" applyAlignment="1">
      <alignment horizontal="right"/>
    </xf>
    <xf numFmtId="165" fontId="14" fillId="13" borderId="70" xfId="2" applyNumberFormat="1" applyFont="1" applyFill="1" applyBorder="1" applyAlignment="1">
      <alignment horizontal="right"/>
    </xf>
    <xf numFmtId="4" fontId="62" fillId="15" borderId="86" xfId="3" applyNumberFormat="1" applyFont="1" applyFill="1" applyBorder="1" applyAlignment="1">
      <alignment horizontal="right"/>
    </xf>
    <xf numFmtId="4" fontId="14" fillId="13" borderId="70" xfId="2" applyNumberFormat="1" applyFont="1" applyFill="1" applyBorder="1" applyAlignment="1">
      <alignment horizontal="right"/>
    </xf>
    <xf numFmtId="165" fontId="14" fillId="13" borderId="84" xfId="2" applyNumberFormat="1" applyFont="1" applyFill="1" applyBorder="1" applyAlignment="1">
      <alignment horizontal="right"/>
    </xf>
    <xf numFmtId="165" fontId="14" fillId="13" borderId="72" xfId="2" applyNumberFormat="1" applyFont="1" applyFill="1" applyBorder="1" applyAlignment="1">
      <alignment horizontal="right"/>
    </xf>
    <xf numFmtId="4" fontId="14" fillId="13" borderId="73" xfId="2" applyNumberFormat="1" applyFont="1" applyFill="1" applyBorder="1" applyAlignment="1">
      <alignment horizontal="right"/>
    </xf>
    <xf numFmtId="0" fontId="14" fillId="13" borderId="74" xfId="3" applyFont="1" applyFill="1" applyBorder="1" applyAlignment="1"/>
    <xf numFmtId="165" fontId="14" fillId="13" borderId="25" xfId="2" applyNumberFormat="1" applyFont="1" applyFill="1" applyBorder="1" applyAlignment="1">
      <alignment horizontal="right"/>
    </xf>
    <xf numFmtId="165" fontId="14" fillId="13" borderId="27" xfId="2" applyNumberFormat="1" applyFont="1" applyFill="1" applyBorder="1" applyAlignment="1">
      <alignment horizontal="right"/>
    </xf>
    <xf numFmtId="4" fontId="14" fillId="13" borderId="29" xfId="2" applyNumberFormat="1" applyFont="1" applyFill="1" applyBorder="1" applyAlignment="1">
      <alignment horizontal="right"/>
    </xf>
    <xf numFmtId="4" fontId="62" fillId="15" borderId="4" xfId="3" applyNumberFormat="1" applyFont="1" applyFill="1" applyBorder="1" applyAlignment="1">
      <alignment horizontal="right"/>
    </xf>
    <xf numFmtId="4" fontId="62" fillId="15" borderId="30" xfId="2" applyNumberFormat="1" applyFont="1" applyFill="1" applyBorder="1" applyAlignment="1">
      <alignment horizontal="right"/>
    </xf>
    <xf numFmtId="4" fontId="62" fillId="15" borderId="4" xfId="2" applyNumberFormat="1" applyFont="1" applyFill="1" applyBorder="1" applyAlignment="1">
      <alignment horizontal="right"/>
    </xf>
    <xf numFmtId="4" fontId="62" fillId="15" borderId="30" xfId="3" applyNumberFormat="1" applyFont="1" applyFill="1" applyBorder="1" applyAlignment="1">
      <alignment horizontal="right"/>
    </xf>
    <xf numFmtId="2" fontId="14" fillId="13" borderId="38" xfId="3" applyNumberFormat="1" applyFont="1" applyFill="1" applyBorder="1" applyAlignment="1">
      <alignment horizontal="right"/>
    </xf>
    <xf numFmtId="2" fontId="14" fillId="13" borderId="46" xfId="3" applyNumberFormat="1" applyFont="1" applyFill="1" applyBorder="1" applyAlignment="1">
      <alignment horizontal="right"/>
    </xf>
    <xf numFmtId="2" fontId="14" fillId="13" borderId="68" xfId="3" applyNumberFormat="1" applyFont="1" applyFill="1" applyBorder="1" applyAlignment="1">
      <alignment horizontal="right"/>
    </xf>
    <xf numFmtId="2" fontId="14" fillId="13" borderId="18" xfId="3" applyNumberFormat="1" applyFont="1" applyFill="1" applyBorder="1" applyAlignment="1">
      <alignment horizontal="right"/>
    </xf>
    <xf numFmtId="2" fontId="14" fillId="13" borderId="47" xfId="3" applyNumberFormat="1" applyFont="1" applyFill="1" applyBorder="1" applyAlignment="1">
      <alignment horizontal="right"/>
    </xf>
    <xf numFmtId="2" fontId="14" fillId="13" borderId="70" xfId="3" applyNumberFormat="1" applyFont="1" applyFill="1" applyBorder="1" applyAlignment="1">
      <alignment horizontal="right"/>
    </xf>
    <xf numFmtId="167" fontId="14" fillId="13" borderId="18" xfId="3" applyNumberFormat="1" applyFont="1" applyFill="1" applyBorder="1" applyAlignment="1">
      <alignment horizontal="right"/>
    </xf>
    <xf numFmtId="167" fontId="14" fillId="13" borderId="47" xfId="3" applyNumberFormat="1" applyFont="1" applyFill="1" applyBorder="1" applyAlignment="1">
      <alignment horizontal="right"/>
    </xf>
    <xf numFmtId="167" fontId="14" fillId="13" borderId="42" xfId="3" applyNumberFormat="1" applyFont="1" applyFill="1" applyBorder="1" applyAlignment="1">
      <alignment horizontal="right"/>
    </xf>
    <xf numFmtId="167" fontId="14" fillId="13" borderId="70" xfId="3" applyNumberFormat="1" applyFont="1" applyFill="1" applyBorder="1" applyAlignment="1">
      <alignment horizontal="right"/>
    </xf>
    <xf numFmtId="167" fontId="14" fillId="13" borderId="19" xfId="3" applyNumberFormat="1" applyFont="1" applyFill="1" applyBorder="1" applyAlignment="1">
      <alignment horizontal="right"/>
    </xf>
    <xf numFmtId="2" fontId="14" fillId="13" borderId="25" xfId="3" applyNumberFormat="1" applyFont="1" applyFill="1" applyBorder="1" applyAlignment="1">
      <alignment horizontal="right"/>
    </xf>
    <xf numFmtId="2" fontId="14" fillId="13" borderId="27" xfId="3" applyNumberFormat="1" applyFont="1" applyFill="1" applyBorder="1" applyAlignment="1">
      <alignment horizontal="right"/>
    </xf>
    <xf numFmtId="2" fontId="14" fillId="13" borderId="43" xfId="3" applyNumberFormat="1" applyFont="1" applyFill="1" applyBorder="1" applyAlignment="1">
      <alignment horizontal="right"/>
    </xf>
    <xf numFmtId="2" fontId="14" fillId="13" borderId="26" xfId="3" applyNumberFormat="1" applyFont="1" applyFill="1" applyBorder="1" applyAlignment="1">
      <alignment horizontal="right"/>
    </xf>
    <xf numFmtId="4" fontId="62" fillId="15" borderId="36" xfId="3" applyNumberFormat="1" applyFont="1" applyFill="1" applyBorder="1" applyAlignment="1">
      <alignment horizontal="right"/>
    </xf>
    <xf numFmtId="4" fontId="62" fillId="15" borderId="66" xfId="3" applyNumberFormat="1" applyFont="1" applyFill="1" applyBorder="1" applyAlignment="1">
      <alignment horizontal="right"/>
    </xf>
    <xf numFmtId="169" fontId="14" fillId="13" borderId="41" xfId="1" applyNumberFormat="1" applyFont="1" applyFill="1" applyBorder="1" applyAlignment="1">
      <alignment horizontal="right"/>
    </xf>
    <xf numFmtId="169" fontId="14" fillId="13" borderId="68" xfId="1" applyNumberFormat="1" applyFont="1" applyFill="1" applyBorder="1" applyAlignment="1">
      <alignment horizontal="right"/>
    </xf>
    <xf numFmtId="169" fontId="14" fillId="13" borderId="55" xfId="1" applyNumberFormat="1" applyFont="1" applyFill="1" applyBorder="1" applyAlignment="1">
      <alignment horizontal="right"/>
    </xf>
    <xf numFmtId="169" fontId="14" fillId="13" borderId="76" xfId="1" applyNumberFormat="1" applyFont="1" applyFill="1" applyBorder="1" applyAlignment="1">
      <alignment horizontal="right"/>
    </xf>
    <xf numFmtId="169" fontId="14" fillId="13" borderId="42" xfId="1" applyNumberFormat="1" applyFont="1" applyFill="1" applyBorder="1" applyAlignment="1">
      <alignment horizontal="right"/>
    </xf>
    <xf numFmtId="169" fontId="14" fillId="13" borderId="70" xfId="1" applyNumberFormat="1" applyFont="1" applyFill="1" applyBorder="1" applyAlignment="1">
      <alignment horizontal="right"/>
    </xf>
    <xf numFmtId="0" fontId="14" fillId="13" borderId="77" xfId="3" applyFont="1" applyFill="1" applyBorder="1" applyAlignment="1"/>
    <xf numFmtId="169" fontId="14" fillId="13" borderId="78" xfId="1" applyNumberFormat="1" applyFont="1" applyFill="1" applyBorder="1" applyAlignment="1">
      <alignment horizontal="right"/>
    </xf>
    <xf numFmtId="169" fontId="14" fillId="13" borderId="81" xfId="1" applyNumberFormat="1" applyFont="1" applyFill="1" applyBorder="1" applyAlignment="1">
      <alignment horizontal="right"/>
    </xf>
    <xf numFmtId="0" fontId="17" fillId="15" borderId="36" xfId="3" applyFont="1" applyFill="1" applyBorder="1" applyAlignment="1">
      <alignment horizontal="right"/>
    </xf>
    <xf numFmtId="169" fontId="14" fillId="13" borderId="46" xfId="1" applyNumberFormat="1" applyFont="1" applyFill="1" applyBorder="1" applyAlignment="1">
      <alignment horizontal="right"/>
    </xf>
    <xf numFmtId="169" fontId="14" fillId="13" borderId="39" xfId="1" applyNumberFormat="1" applyFont="1" applyFill="1" applyBorder="1" applyAlignment="1">
      <alignment horizontal="right"/>
    </xf>
    <xf numFmtId="169" fontId="14" fillId="13" borderId="75" xfId="1" applyNumberFormat="1" applyFont="1" applyFill="1" applyBorder="1" applyAlignment="1">
      <alignment horizontal="right"/>
    </xf>
    <xf numFmtId="169" fontId="14" fillId="13" borderId="54" xfId="1" applyNumberFormat="1" applyFont="1" applyFill="1" applyBorder="1" applyAlignment="1">
      <alignment horizontal="right"/>
    </xf>
    <xf numFmtId="169" fontId="14" fillId="13" borderId="47" xfId="1" applyNumberFormat="1" applyFont="1" applyFill="1" applyBorder="1" applyAlignment="1">
      <alignment horizontal="right"/>
    </xf>
    <xf numFmtId="169" fontId="14" fillId="13" borderId="40" xfId="1" applyNumberFormat="1" applyFont="1" applyFill="1" applyBorder="1" applyAlignment="1">
      <alignment horizontal="right"/>
    </xf>
    <xf numFmtId="0" fontId="14" fillId="13" borderId="87" xfId="3" applyFont="1" applyFill="1" applyBorder="1" applyAlignment="1"/>
    <xf numFmtId="169" fontId="14" fillId="13" borderId="32" xfId="1" applyNumberFormat="1" applyFont="1" applyFill="1" applyBorder="1" applyAlignment="1">
      <alignment horizontal="right"/>
    </xf>
    <xf numFmtId="169" fontId="14" fillId="13" borderId="71" xfId="1" applyNumberFormat="1" applyFont="1" applyFill="1" applyBorder="1" applyAlignment="1">
      <alignment horizontal="right"/>
    </xf>
    <xf numFmtId="169" fontId="14" fillId="13" borderId="72" xfId="1" applyNumberFormat="1" applyFont="1" applyFill="1" applyBorder="1" applyAlignment="1">
      <alignment horizontal="right"/>
    </xf>
    <xf numFmtId="169" fontId="14" fillId="13" borderId="88" xfId="1" applyNumberFormat="1" applyFont="1" applyFill="1" applyBorder="1" applyAlignment="1">
      <alignment horizontal="right"/>
    </xf>
    <xf numFmtId="169" fontId="14" fillId="13" borderId="73" xfId="1" applyNumberFormat="1" applyFont="1" applyFill="1" applyBorder="1" applyAlignment="1">
      <alignment horizontal="right"/>
    </xf>
    <xf numFmtId="0" fontId="17" fillId="15" borderId="64" xfId="3" applyFont="1" applyFill="1" applyBorder="1" applyAlignment="1"/>
    <xf numFmtId="0" fontId="17" fillId="15" borderId="57" xfId="3" applyFont="1" applyFill="1" applyBorder="1" applyAlignment="1">
      <alignment horizontal="right"/>
    </xf>
    <xf numFmtId="4" fontId="62" fillId="15" borderId="56" xfId="3" applyNumberFormat="1" applyFont="1" applyFill="1" applyBorder="1" applyAlignment="1">
      <alignment horizontal="right"/>
    </xf>
    <xf numFmtId="4" fontId="62" fillId="15" borderId="20" xfId="3" applyNumberFormat="1" applyFont="1" applyFill="1" applyBorder="1" applyAlignment="1">
      <alignment horizontal="right"/>
    </xf>
    <xf numFmtId="4" fontId="62" fillId="15" borderId="17" xfId="3" applyNumberFormat="1" applyFont="1" applyFill="1" applyBorder="1" applyAlignment="1">
      <alignment horizontal="right"/>
    </xf>
    <xf numFmtId="169" fontId="14" fillId="13" borderId="51" xfId="1" applyNumberFormat="1" applyFont="1" applyFill="1" applyBorder="1" applyAlignment="1">
      <alignment horizontal="right"/>
    </xf>
    <xf numFmtId="169" fontId="14" fillId="13" borderId="89" xfId="1" applyNumberFormat="1" applyFont="1" applyFill="1" applyBorder="1" applyAlignment="1">
      <alignment horizontal="right"/>
    </xf>
    <xf numFmtId="0" fontId="12" fillId="2" borderId="79" xfId="0" applyFont="1" applyFill="1" applyBorder="1"/>
    <xf numFmtId="169" fontId="14" fillId="13" borderId="79" xfId="1" applyNumberFormat="1" applyFont="1" applyFill="1" applyBorder="1" applyAlignment="1">
      <alignment horizontal="right"/>
    </xf>
    <xf numFmtId="169" fontId="14" fillId="13" borderId="80" xfId="1" applyNumberFormat="1" applyFont="1" applyFill="1" applyBorder="1" applyAlignment="1">
      <alignment horizontal="right"/>
    </xf>
    <xf numFmtId="0" fontId="12" fillId="2" borderId="0" xfId="0" applyFont="1" applyFill="1" applyAlignment="1">
      <alignment vertical="center" wrapText="1"/>
    </xf>
    <xf numFmtId="0" fontId="12" fillId="2" borderId="0" xfId="0" applyFont="1" applyFill="1" applyAlignment="1">
      <alignment horizontal="center" vertical="center" wrapText="1"/>
    </xf>
    <xf numFmtId="168" fontId="12" fillId="2" borderId="0" xfId="0" applyNumberFormat="1" applyFont="1" applyFill="1" applyAlignment="1">
      <alignment horizontal="right"/>
    </xf>
    <xf numFmtId="14" fontId="12" fillId="2" borderId="0" xfId="0" applyNumberFormat="1" applyFont="1" applyFill="1"/>
    <xf numFmtId="168" fontId="12" fillId="2" borderId="0" xfId="0" applyNumberFormat="1" applyFont="1" applyFill="1"/>
    <xf numFmtId="4" fontId="12" fillId="2" borderId="0" xfId="0" applyNumberFormat="1" applyFont="1" applyFill="1"/>
    <xf numFmtId="0" fontId="40" fillId="2" borderId="0" xfId="0" applyFont="1" applyFill="1" applyBorder="1" applyProtection="1"/>
    <xf numFmtId="0" fontId="40" fillId="2" borderId="0" xfId="0" quotePrefix="1" applyFont="1" applyFill="1" applyProtection="1"/>
    <xf numFmtId="0" fontId="40" fillId="2" borderId="0" xfId="0" applyFont="1" applyFill="1" applyProtection="1"/>
    <xf numFmtId="3" fontId="7" fillId="7" borderId="9" xfId="0" applyNumberFormat="1" applyFont="1" applyFill="1" applyBorder="1" applyAlignment="1">
      <alignment horizontal="right"/>
    </xf>
    <xf numFmtId="3" fontId="7" fillId="7" borderId="0" xfId="0" applyNumberFormat="1" applyFont="1" applyFill="1" applyBorder="1" applyAlignment="1">
      <alignment horizontal="right"/>
    </xf>
    <xf numFmtId="3" fontId="7" fillId="7" borderId="32" xfId="0" applyNumberFormat="1" applyFont="1" applyFill="1" applyBorder="1" applyAlignment="1">
      <alignment horizontal="right"/>
    </xf>
    <xf numFmtId="3" fontId="7" fillId="7" borderId="33" xfId="0" applyNumberFormat="1" applyFont="1" applyFill="1" applyBorder="1" applyAlignment="1">
      <alignment horizontal="right"/>
    </xf>
    <xf numFmtId="3" fontId="7" fillId="7" borderId="5" xfId="0" applyNumberFormat="1" applyFont="1" applyFill="1" applyBorder="1" applyAlignment="1">
      <alignment horizontal="right"/>
    </xf>
    <xf numFmtId="3" fontId="7" fillId="7" borderId="34" xfId="0" applyNumberFormat="1" applyFont="1" applyFill="1" applyBorder="1" applyAlignment="1">
      <alignment horizontal="right"/>
    </xf>
    <xf numFmtId="3" fontId="7" fillId="2" borderId="34" xfId="0" applyNumberFormat="1" applyFont="1" applyFill="1" applyBorder="1" applyAlignment="1">
      <alignment horizontal="right"/>
    </xf>
    <xf numFmtId="169" fontId="7" fillId="2" borderId="33" xfId="1" applyNumberFormat="1" applyFont="1" applyFill="1" applyBorder="1" applyAlignment="1">
      <alignment horizontal="right"/>
    </xf>
    <xf numFmtId="169" fontId="12" fillId="7" borderId="0" xfId="1" applyNumberFormat="1" applyFont="1" applyFill="1" applyBorder="1"/>
    <xf numFmtId="169" fontId="12" fillId="7" borderId="32" xfId="1" applyNumberFormat="1" applyFont="1" applyFill="1" applyBorder="1"/>
    <xf numFmtId="3" fontId="7" fillId="7" borderId="52" xfId="0" applyNumberFormat="1" applyFont="1" applyFill="1" applyBorder="1" applyAlignment="1">
      <alignment horizontal="right"/>
    </xf>
    <xf numFmtId="3" fontId="7" fillId="7" borderId="53" xfId="0" applyNumberFormat="1" applyFont="1" applyFill="1" applyBorder="1" applyAlignment="1">
      <alignment horizontal="right"/>
    </xf>
    <xf numFmtId="0" fontId="21" fillId="2" borderId="0" xfId="0" applyFont="1" applyFill="1" applyBorder="1"/>
    <xf numFmtId="167" fontId="15" fillId="2" borderId="0" xfId="0" applyNumberFormat="1" applyFont="1" applyFill="1" applyBorder="1" applyAlignment="1">
      <alignment horizontal="center"/>
    </xf>
    <xf numFmtId="0" fontId="25" fillId="2" borderId="0" xfId="0" applyFont="1" applyFill="1" applyBorder="1"/>
    <xf numFmtId="0" fontId="25" fillId="2" borderId="0" xfId="0" applyFont="1" applyFill="1" applyBorder="1" applyAlignment="1">
      <alignment horizontal="center"/>
    </xf>
    <xf numFmtId="0" fontId="24" fillId="2" borderId="0" xfId="0" applyFont="1" applyFill="1" applyBorder="1" applyAlignment="1">
      <alignment horizontal="right"/>
    </xf>
    <xf numFmtId="167" fontId="15" fillId="2" borderId="0" xfId="0" applyNumberFormat="1" applyFont="1" applyFill="1" applyBorder="1" applyAlignment="1">
      <alignment horizontal="right"/>
    </xf>
    <xf numFmtId="10" fontId="7" fillId="2" borderId="9" xfId="1" applyNumberFormat="1" applyFont="1" applyFill="1" applyBorder="1"/>
    <xf numFmtId="10" fontId="7" fillId="2" borderId="22" xfId="1" applyNumberFormat="1" applyFont="1" applyFill="1" applyBorder="1"/>
    <xf numFmtId="0" fontId="17" fillId="11" borderId="30" xfId="0" applyFont="1" applyFill="1" applyBorder="1" applyAlignment="1">
      <alignment horizontal="center"/>
    </xf>
    <xf numFmtId="0" fontId="25" fillId="9" borderId="10" xfId="0" applyFont="1" applyFill="1" applyBorder="1"/>
    <xf numFmtId="0" fontId="25" fillId="9" borderId="3" xfId="0" applyFont="1" applyFill="1" applyBorder="1"/>
    <xf numFmtId="0" fontId="24" fillId="4" borderId="10" xfId="0" applyFont="1" applyFill="1" applyBorder="1" applyAlignment="1">
      <alignment horizontal="right"/>
    </xf>
    <xf numFmtId="0" fontId="24" fillId="4" borderId="3" xfId="0" applyFont="1" applyFill="1" applyBorder="1" applyAlignment="1">
      <alignment horizontal="right"/>
    </xf>
    <xf numFmtId="0" fontId="24" fillId="4" borderId="31" xfId="0" applyFont="1" applyFill="1" applyBorder="1" applyAlignment="1">
      <alignment horizontal="right"/>
    </xf>
    <xf numFmtId="0" fontId="23" fillId="2" borderId="35" xfId="0" applyFont="1" applyFill="1" applyBorder="1"/>
    <xf numFmtId="0" fontId="25" fillId="9" borderId="23" xfId="0" applyFont="1" applyFill="1" applyBorder="1" applyAlignment="1">
      <alignment horizontal="center"/>
    </xf>
    <xf numFmtId="0" fontId="12" fillId="2" borderId="44" xfId="0" applyFont="1" applyFill="1" applyBorder="1"/>
    <xf numFmtId="0" fontId="15" fillId="4" borderId="35" xfId="0" applyFont="1" applyFill="1" applyBorder="1"/>
    <xf numFmtId="0" fontId="15" fillId="2" borderId="30" xfId="0" applyFont="1" applyFill="1" applyBorder="1"/>
    <xf numFmtId="0" fontId="15" fillId="2" borderId="35" xfId="0" applyFont="1" applyFill="1" applyBorder="1" applyAlignment="1">
      <alignment horizontal="right"/>
    </xf>
    <xf numFmtId="0" fontId="15" fillId="2" borderId="4" xfId="0" applyFont="1" applyFill="1" applyBorder="1" applyAlignment="1">
      <alignment horizontal="right"/>
    </xf>
    <xf numFmtId="0" fontId="15" fillId="2" borderId="36" xfId="0" applyFont="1" applyFill="1" applyBorder="1" applyAlignment="1">
      <alignment horizontal="right"/>
    </xf>
    <xf numFmtId="0" fontId="8" fillId="2" borderId="0" xfId="0" applyFont="1" applyFill="1" applyBorder="1"/>
    <xf numFmtId="169" fontId="12" fillId="2" borderId="22" xfId="0" applyNumberFormat="1" applyFont="1" applyFill="1" applyBorder="1"/>
    <xf numFmtId="169" fontId="12" fillId="2" borderId="0" xfId="1" applyNumberFormat="1" applyFont="1" applyFill="1" applyBorder="1"/>
    <xf numFmtId="169" fontId="12" fillId="2" borderId="32" xfId="1" applyNumberFormat="1" applyFont="1" applyFill="1" applyBorder="1"/>
    <xf numFmtId="0" fontId="19" fillId="2" borderId="0" xfId="0" applyFont="1" applyFill="1"/>
    <xf numFmtId="0" fontId="49" fillId="2" borderId="0" xfId="0" applyFont="1" applyFill="1" applyBorder="1"/>
    <xf numFmtId="0" fontId="50" fillId="2" borderId="0" xfId="0" applyFont="1" applyFill="1" applyBorder="1" applyAlignment="1">
      <alignment horizontal="right"/>
    </xf>
    <xf numFmtId="0" fontId="50" fillId="2" borderId="0" xfId="0" applyFont="1" applyFill="1" applyBorder="1"/>
    <xf numFmtId="0" fontId="50" fillId="2" borderId="0" xfId="0" applyFont="1" applyFill="1" applyBorder="1" applyProtection="1"/>
    <xf numFmtId="0" fontId="50" fillId="2" borderId="0" xfId="0" quotePrefix="1" applyFont="1" applyFill="1" applyBorder="1" applyProtection="1"/>
    <xf numFmtId="0" fontId="50" fillId="2" borderId="0" xfId="0" applyFont="1" applyFill="1"/>
    <xf numFmtId="0" fontId="67" fillId="2" borderId="0" xfId="0" applyFont="1" applyFill="1"/>
    <xf numFmtId="3" fontId="8" fillId="4" borderId="35" xfId="0" applyNumberFormat="1" applyFont="1" applyFill="1" applyBorder="1" applyAlignment="1">
      <alignment horizontal="right"/>
    </xf>
    <xf numFmtId="3" fontId="8" fillId="4" borderId="36" xfId="0" applyNumberFormat="1" applyFont="1" applyFill="1" applyBorder="1" applyAlignment="1">
      <alignment horizontal="right"/>
    </xf>
    <xf numFmtId="3" fontId="8" fillId="2" borderId="0" xfId="0" applyNumberFormat="1" applyFont="1" applyFill="1" applyBorder="1"/>
    <xf numFmtId="169" fontId="12" fillId="2" borderId="0" xfId="1" applyNumberFormat="1" applyFont="1" applyFill="1" applyBorder="1" applyAlignment="1">
      <alignment horizontal="right"/>
    </xf>
    <xf numFmtId="3" fontId="12" fillId="7" borderId="0" xfId="0" applyNumberFormat="1" applyFont="1" applyFill="1" applyBorder="1" applyAlignment="1">
      <alignment horizontal="center"/>
    </xf>
    <xf numFmtId="3" fontId="12" fillId="7" borderId="5" xfId="0" applyNumberFormat="1" applyFont="1" applyFill="1" applyBorder="1" applyAlignment="1">
      <alignment horizontal="center"/>
    </xf>
    <xf numFmtId="0" fontId="8" fillId="4" borderId="28" xfId="0" applyFont="1" applyFill="1" applyBorder="1"/>
    <xf numFmtId="3" fontId="8" fillId="4" borderId="28" xfId="0" applyNumberFormat="1" applyFont="1" applyFill="1" applyBorder="1" applyAlignment="1">
      <alignment horizontal="right"/>
    </xf>
    <xf numFmtId="0" fontId="7" fillId="2" borderId="40" xfId="0" applyFont="1" applyFill="1" applyBorder="1"/>
    <xf numFmtId="0" fontId="7" fillId="6" borderId="47" xfId="0" applyFont="1" applyFill="1" applyBorder="1" applyAlignment="1">
      <alignment horizontal="center"/>
    </xf>
    <xf numFmtId="3" fontId="7" fillId="2" borderId="18" xfId="0" applyNumberFormat="1" applyFont="1" applyFill="1" applyBorder="1" applyAlignment="1">
      <alignment horizontal="right"/>
    </xf>
    <xf numFmtId="3" fontId="7" fillId="2" borderId="18" xfId="0" applyNumberFormat="1" applyFont="1" applyFill="1" applyBorder="1"/>
    <xf numFmtId="3" fontId="7" fillId="2" borderId="42" xfId="0" applyNumberFormat="1" applyFont="1" applyFill="1" applyBorder="1"/>
    <xf numFmtId="0" fontId="7" fillId="2" borderId="28" xfId="0" applyFont="1" applyFill="1" applyBorder="1"/>
    <xf numFmtId="0" fontId="7" fillId="6" borderId="27" xfId="0" applyFont="1" applyFill="1" applyBorder="1" applyAlignment="1">
      <alignment horizontal="center"/>
    </xf>
    <xf numFmtId="3" fontId="7" fillId="2" borderId="25" xfId="0" applyNumberFormat="1" applyFont="1" applyFill="1" applyBorder="1" applyAlignment="1">
      <alignment horizontal="right"/>
    </xf>
    <xf numFmtId="3" fontId="7" fillId="2" borderId="25" xfId="0" applyNumberFormat="1" applyFont="1" applyFill="1" applyBorder="1"/>
    <xf numFmtId="3" fontId="7" fillId="2" borderId="43" xfId="0" applyNumberFormat="1" applyFont="1" applyFill="1" applyBorder="1"/>
    <xf numFmtId="10" fontId="8" fillId="4" borderId="36" xfId="1" applyNumberFormat="1" applyFont="1" applyFill="1" applyBorder="1" applyAlignment="1">
      <alignment horizontal="right"/>
    </xf>
    <xf numFmtId="0" fontId="70" fillId="2" borderId="0" xfId="0" applyFont="1" applyFill="1" applyAlignment="1">
      <alignment horizontal="center"/>
    </xf>
    <xf numFmtId="169" fontId="7" fillId="2" borderId="20" xfId="0" applyNumberFormat="1" applyFont="1" applyFill="1" applyBorder="1" applyAlignment="1">
      <alignment horizontal="right"/>
    </xf>
    <xf numFmtId="0" fontId="24" fillId="2" borderId="23" xfId="0" applyFont="1" applyFill="1" applyBorder="1"/>
    <xf numFmtId="0" fontId="71" fillId="4" borderId="7" xfId="0" applyFont="1" applyFill="1" applyBorder="1"/>
    <xf numFmtId="0" fontId="49" fillId="4" borderId="21" xfId="0" applyFont="1" applyFill="1" applyBorder="1" applyAlignment="1">
      <alignment horizontal="right"/>
    </xf>
    <xf numFmtId="3" fontId="7" fillId="2" borderId="30" xfId="0" applyNumberFormat="1" applyFont="1" applyFill="1" applyBorder="1" applyAlignment="1">
      <alignment horizontal="right"/>
    </xf>
    <xf numFmtId="0" fontId="15" fillId="4" borderId="94" xfId="0" applyFont="1" applyFill="1" applyBorder="1"/>
    <xf numFmtId="0" fontId="15" fillId="4" borderId="56" xfId="0" applyFont="1" applyFill="1" applyBorder="1" applyAlignment="1">
      <alignment horizontal="center"/>
    </xf>
    <xf numFmtId="0" fontId="15" fillId="4" borderId="96" xfId="0" applyFont="1" applyFill="1" applyBorder="1" applyAlignment="1">
      <alignment horizontal="center"/>
    </xf>
    <xf numFmtId="0" fontId="15" fillId="2" borderId="94" xfId="0" applyFont="1" applyFill="1" applyBorder="1" applyAlignment="1">
      <alignment horizontal="right"/>
    </xf>
    <xf numFmtId="0" fontId="15" fillId="2" borderId="20" xfId="0" applyFont="1" applyFill="1" applyBorder="1" applyAlignment="1">
      <alignment horizontal="right"/>
    </xf>
    <xf numFmtId="0" fontId="15" fillId="2" borderId="17" xfId="0" applyFont="1" applyFill="1" applyBorder="1" applyAlignment="1">
      <alignment horizontal="right"/>
    </xf>
    <xf numFmtId="3" fontId="8" fillId="7" borderId="22" xfId="0" applyNumberFormat="1" applyFont="1" applyFill="1" applyBorder="1" applyAlignment="1">
      <alignment horizontal="center"/>
    </xf>
    <xf numFmtId="3" fontId="8" fillId="7" borderId="97" xfId="0" applyNumberFormat="1" applyFont="1" applyFill="1" applyBorder="1" applyAlignment="1">
      <alignment horizontal="center"/>
    </xf>
    <xf numFmtId="3" fontId="8" fillId="7" borderId="15" xfId="0" applyNumberFormat="1" applyFont="1" applyFill="1" applyBorder="1"/>
    <xf numFmtId="3" fontId="8" fillId="7" borderId="0" xfId="0" applyNumberFormat="1" applyFont="1" applyFill="1" applyBorder="1"/>
    <xf numFmtId="3" fontId="8" fillId="7" borderId="16" xfId="0" applyNumberFormat="1" applyFont="1" applyFill="1" applyBorder="1"/>
    <xf numFmtId="1" fontId="7" fillId="7" borderId="22" xfId="0" applyNumberFormat="1" applyFont="1" applyFill="1" applyBorder="1" applyAlignment="1">
      <alignment horizontal="center"/>
    </xf>
    <xf numFmtId="1" fontId="7" fillId="7" borderId="97" xfId="0" applyNumberFormat="1" applyFont="1" applyFill="1" applyBorder="1" applyAlignment="1">
      <alignment horizontal="center"/>
    </xf>
    <xf numFmtId="3" fontId="7" fillId="7" borderId="15" xfId="0" applyNumberFormat="1" applyFont="1" applyFill="1" applyBorder="1"/>
    <xf numFmtId="3" fontId="7" fillId="7" borderId="0" xfId="0" applyNumberFormat="1" applyFont="1" applyFill="1" applyBorder="1"/>
    <xf numFmtId="3" fontId="7" fillId="7" borderId="16" xfId="0" applyNumberFormat="1" applyFont="1" applyFill="1" applyBorder="1"/>
    <xf numFmtId="0" fontId="12" fillId="2" borderId="15" xfId="0" applyFont="1" applyFill="1" applyBorder="1"/>
    <xf numFmtId="0" fontId="12" fillId="2" borderId="16" xfId="0" applyFont="1" applyFill="1" applyBorder="1"/>
    <xf numFmtId="1" fontId="8" fillId="7" borderId="22" xfId="0" applyNumberFormat="1" applyFont="1" applyFill="1" applyBorder="1" applyAlignment="1">
      <alignment horizontal="center"/>
    </xf>
    <xf numFmtId="1" fontId="8" fillId="7" borderId="97" xfId="0" applyNumberFormat="1" applyFont="1" applyFill="1" applyBorder="1" applyAlignment="1">
      <alignment horizontal="center"/>
    </xf>
    <xf numFmtId="0" fontId="15" fillId="2" borderId="15" xfId="0" applyFont="1" applyFill="1" applyBorder="1"/>
    <xf numFmtId="0" fontId="15" fillId="2" borderId="16" xfId="0" applyFont="1" applyFill="1" applyBorder="1"/>
    <xf numFmtId="1" fontId="12" fillId="2" borderId="0" xfId="0" applyNumberFormat="1" applyFont="1" applyFill="1" applyBorder="1"/>
    <xf numFmtId="3" fontId="8" fillId="7" borderId="11" xfId="0" applyNumberFormat="1" applyFont="1" applyFill="1" applyBorder="1" applyAlignment="1">
      <alignment horizontal="center"/>
    </xf>
    <xf numFmtId="3" fontId="8" fillId="7" borderId="98" xfId="0" applyNumberFormat="1" applyFont="1" applyFill="1" applyBorder="1" applyAlignment="1">
      <alignment horizontal="center"/>
    </xf>
    <xf numFmtId="0" fontId="12" fillId="2" borderId="14" xfId="0" applyFont="1" applyFill="1" applyBorder="1"/>
    <xf numFmtId="0" fontId="12" fillId="2" borderId="90" xfId="0" applyFont="1" applyFill="1" applyBorder="1"/>
    <xf numFmtId="0" fontId="15" fillId="4" borderId="82" xfId="0" applyFont="1" applyFill="1" applyBorder="1" applyAlignment="1">
      <alignment horizontal="center"/>
    </xf>
    <xf numFmtId="0" fontId="15" fillId="4" borderId="37" xfId="0" applyFont="1" applyFill="1" applyBorder="1" applyAlignment="1">
      <alignment horizontal="center"/>
    </xf>
    <xf numFmtId="0" fontId="15" fillId="4" borderId="85" xfId="0" applyFont="1" applyFill="1" applyBorder="1" applyAlignment="1">
      <alignment horizontal="center"/>
    </xf>
    <xf numFmtId="0" fontId="8" fillId="4" borderId="82" xfId="0" applyFont="1" applyFill="1" applyBorder="1" applyAlignment="1">
      <alignment horizontal="right"/>
    </xf>
    <xf numFmtId="0" fontId="8" fillId="4" borderId="37" xfId="0" applyFont="1" applyFill="1" applyBorder="1" applyAlignment="1">
      <alignment horizontal="right"/>
    </xf>
    <xf numFmtId="0" fontId="8" fillId="4" borderId="85" xfId="0" applyFont="1" applyFill="1" applyBorder="1" applyAlignment="1">
      <alignment horizontal="right"/>
    </xf>
    <xf numFmtId="0" fontId="8" fillId="4" borderId="107" xfId="0" applyFont="1" applyFill="1" applyBorder="1"/>
    <xf numFmtId="3" fontId="8" fillId="7" borderId="100" xfId="0" applyNumberFormat="1" applyFont="1" applyFill="1" applyBorder="1" applyAlignment="1">
      <alignment horizontal="center"/>
    </xf>
    <xf numFmtId="3" fontId="8" fillId="7" borderId="48" xfId="0" applyNumberFormat="1" applyFont="1" applyFill="1" applyBorder="1" applyAlignment="1">
      <alignment horizontal="center"/>
    </xf>
    <xf numFmtId="3" fontId="8" fillId="7" borderId="101" xfId="0" applyNumberFormat="1" applyFont="1" applyFill="1" applyBorder="1" applyAlignment="1">
      <alignment horizontal="center"/>
    </xf>
    <xf numFmtId="3" fontId="8" fillId="2" borderId="99" xfId="0" applyNumberFormat="1" applyFont="1" applyFill="1" applyBorder="1"/>
    <xf numFmtId="3" fontId="8" fillId="2" borderId="22" xfId="0" applyNumberFormat="1" applyFont="1" applyFill="1" applyBorder="1"/>
    <xf numFmtId="3" fontId="8" fillId="2" borderId="97" xfId="0" applyNumberFormat="1" applyFont="1" applyFill="1" applyBorder="1"/>
    <xf numFmtId="167" fontId="40" fillId="0" borderId="108" xfId="0" applyNumberFormat="1" applyFont="1" applyBorder="1"/>
    <xf numFmtId="3" fontId="7" fillId="2" borderId="99" xfId="1" applyNumberFormat="1" applyFont="1" applyFill="1" applyBorder="1" applyAlignment="1">
      <alignment horizontal="center"/>
    </xf>
    <xf numFmtId="3" fontId="7" fillId="2" borderId="22" xfId="1" applyNumberFormat="1" applyFont="1" applyFill="1" applyBorder="1" applyAlignment="1">
      <alignment horizontal="center"/>
    </xf>
    <xf numFmtId="3" fontId="7" fillId="2" borderId="97" xfId="1" applyNumberFormat="1" applyFont="1" applyFill="1" applyBorder="1" applyAlignment="1">
      <alignment horizontal="center"/>
    </xf>
    <xf numFmtId="3" fontId="7" fillId="2" borderId="99" xfId="0" applyNumberFormat="1" applyFont="1" applyFill="1" applyBorder="1"/>
    <xf numFmtId="3" fontId="7" fillId="2" borderId="22" xfId="0" applyNumberFormat="1" applyFont="1" applyFill="1" applyBorder="1"/>
    <xf numFmtId="3" fontId="7" fillId="2" borderId="97" xfId="0" applyNumberFormat="1" applyFont="1" applyFill="1" applyBorder="1"/>
    <xf numFmtId="167" fontId="73" fillId="0" borderId="108" xfId="0" applyNumberFormat="1" applyFont="1" applyBorder="1"/>
    <xf numFmtId="169" fontId="73" fillId="2" borderId="99" xfId="1" applyNumberFormat="1" applyFont="1" applyFill="1" applyBorder="1" applyAlignment="1">
      <alignment horizontal="center"/>
    </xf>
    <xf numFmtId="169" fontId="73" fillId="2" borderId="22" xfId="1" applyNumberFormat="1" applyFont="1" applyFill="1" applyBorder="1" applyAlignment="1">
      <alignment horizontal="center"/>
    </xf>
    <xf numFmtId="169" fontId="73" fillId="2" borderId="97" xfId="1" applyNumberFormat="1" applyFont="1" applyFill="1" applyBorder="1" applyAlignment="1">
      <alignment horizontal="center"/>
    </xf>
    <xf numFmtId="0" fontId="74" fillId="2" borderId="0" xfId="0" applyFont="1" applyFill="1"/>
    <xf numFmtId="0" fontId="12" fillId="2" borderId="108" xfId="0" applyFont="1" applyFill="1" applyBorder="1"/>
    <xf numFmtId="0" fontId="7" fillId="2" borderId="99" xfId="0" applyFont="1" applyFill="1" applyBorder="1" applyAlignment="1">
      <alignment horizontal="center"/>
    </xf>
    <xf numFmtId="0" fontId="7" fillId="2" borderId="97" xfId="0" applyFont="1" applyFill="1" applyBorder="1" applyAlignment="1">
      <alignment horizontal="center"/>
    </xf>
    <xf numFmtId="1" fontId="7" fillId="7" borderId="99" xfId="0" applyNumberFormat="1" applyFont="1" applyFill="1" applyBorder="1" applyAlignment="1">
      <alignment horizontal="center"/>
    </xf>
    <xf numFmtId="0" fontId="23" fillId="4" borderId="105" xfId="0" applyFont="1" applyFill="1" applyBorder="1"/>
    <xf numFmtId="3" fontId="10" fillId="4" borderId="65" xfId="0" applyNumberFormat="1" applyFont="1" applyFill="1" applyBorder="1" applyAlignment="1">
      <alignment horizontal="center"/>
    </xf>
    <xf numFmtId="3" fontId="10" fillId="4" borderId="30" xfId="0" applyNumberFormat="1" applyFont="1" applyFill="1" applyBorder="1" applyAlignment="1">
      <alignment horizontal="center"/>
    </xf>
    <xf numFmtId="3" fontId="10" fillId="4" borderId="86" xfId="0" applyNumberFormat="1" applyFont="1" applyFill="1" applyBorder="1" applyAlignment="1">
      <alignment horizontal="center"/>
    </xf>
    <xf numFmtId="3" fontId="10" fillId="4" borderId="65" xfId="0" applyNumberFormat="1" applyFont="1" applyFill="1" applyBorder="1"/>
    <xf numFmtId="3" fontId="10" fillId="4" borderId="30" xfId="0" applyNumberFormat="1" applyFont="1" applyFill="1" applyBorder="1"/>
    <xf numFmtId="3" fontId="10" fillId="4" borderId="86" xfId="0" applyNumberFormat="1" applyFont="1" applyFill="1" applyBorder="1"/>
    <xf numFmtId="0" fontId="12" fillId="2" borderId="105" xfId="0" applyFont="1" applyFill="1" applyBorder="1"/>
    <xf numFmtId="1" fontId="7" fillId="7" borderId="65" xfId="0" applyNumberFormat="1" applyFont="1" applyFill="1" applyBorder="1" applyAlignment="1">
      <alignment horizontal="center"/>
    </xf>
    <xf numFmtId="1" fontId="7" fillId="7" borderId="30" xfId="0" applyNumberFormat="1" applyFont="1" applyFill="1" applyBorder="1" applyAlignment="1">
      <alignment horizontal="center"/>
    </xf>
    <xf numFmtId="1" fontId="7" fillId="7" borderId="86" xfId="0" applyNumberFormat="1" applyFont="1" applyFill="1" applyBorder="1" applyAlignment="1">
      <alignment horizontal="center"/>
    </xf>
    <xf numFmtId="3" fontId="7" fillId="7" borderId="65" xfId="0" applyNumberFormat="1" applyFont="1" applyFill="1" applyBorder="1"/>
    <xf numFmtId="1" fontId="7" fillId="7" borderId="30" xfId="0" applyNumberFormat="1" applyFont="1" applyFill="1" applyBorder="1"/>
    <xf numFmtId="1" fontId="7" fillId="7" borderId="86" xfId="0" applyNumberFormat="1" applyFont="1" applyFill="1" applyBorder="1"/>
    <xf numFmtId="0" fontId="15" fillId="4" borderId="105" xfId="0" applyFont="1" applyFill="1" applyBorder="1"/>
    <xf numFmtId="3" fontId="8" fillId="4" borderId="65" xfId="0" applyNumberFormat="1" applyFont="1" applyFill="1" applyBorder="1" applyAlignment="1">
      <alignment horizontal="center"/>
    </xf>
    <xf numFmtId="3" fontId="8" fillId="4" borderId="30" xfId="0" applyNumberFormat="1" applyFont="1" applyFill="1" applyBorder="1" applyAlignment="1">
      <alignment horizontal="center"/>
    </xf>
    <xf numFmtId="3" fontId="8" fillId="4" borderId="86" xfId="0" applyNumberFormat="1" applyFont="1" applyFill="1" applyBorder="1" applyAlignment="1">
      <alignment horizontal="center"/>
    </xf>
    <xf numFmtId="1" fontId="10" fillId="4" borderId="65" xfId="0" applyNumberFormat="1" applyFont="1" applyFill="1" applyBorder="1"/>
    <xf numFmtId="1" fontId="10" fillId="4" borderId="30" xfId="0" applyNumberFormat="1" applyFont="1" applyFill="1" applyBorder="1"/>
    <xf numFmtId="1" fontId="10" fillId="4" borderId="86" xfId="0" applyNumberFormat="1" applyFont="1" applyFill="1" applyBorder="1"/>
    <xf numFmtId="0" fontId="15" fillId="2" borderId="108" xfId="0" applyFont="1" applyFill="1" applyBorder="1"/>
    <xf numFmtId="3" fontId="8" fillId="2" borderId="15" xfId="0" applyNumberFormat="1" applyFont="1" applyFill="1" applyBorder="1" applyAlignment="1">
      <alignment horizontal="center"/>
    </xf>
    <xf numFmtId="3" fontId="8" fillId="2" borderId="0" xfId="0" applyNumberFormat="1" applyFont="1" applyFill="1" applyBorder="1" applyAlignment="1">
      <alignment horizontal="center"/>
    </xf>
    <xf numFmtId="3" fontId="8" fillId="2" borderId="16" xfId="0" applyNumberFormat="1" applyFont="1" applyFill="1" applyBorder="1" applyAlignment="1">
      <alignment horizontal="center"/>
    </xf>
    <xf numFmtId="0" fontId="12" fillId="2" borderId="99" xfId="0" applyFont="1" applyFill="1" applyBorder="1"/>
    <xf numFmtId="0" fontId="12" fillId="2" borderId="97" xfId="0" applyFont="1" applyFill="1" applyBorder="1"/>
    <xf numFmtId="3" fontId="7" fillId="7" borderId="65" xfId="0" applyNumberFormat="1" applyFont="1" applyFill="1" applyBorder="1" applyAlignment="1">
      <alignment horizontal="center"/>
    </xf>
    <xf numFmtId="3" fontId="7" fillId="7" borderId="86" xfId="0" applyNumberFormat="1" applyFont="1" applyFill="1" applyBorder="1" applyAlignment="1">
      <alignment horizontal="center"/>
    </xf>
    <xf numFmtId="3" fontId="7" fillId="7" borderId="106" xfId="0" applyNumberFormat="1" applyFont="1" applyFill="1" applyBorder="1"/>
    <xf numFmtId="3" fontId="7" fillId="7" borderId="30" xfId="0" applyNumberFormat="1" applyFont="1" applyFill="1" applyBorder="1"/>
    <xf numFmtId="3" fontId="7" fillId="7" borderId="4" xfId="0" applyNumberFormat="1" applyFont="1" applyFill="1" applyBorder="1"/>
    <xf numFmtId="3" fontId="7" fillId="7" borderId="66" xfId="0" applyNumberFormat="1" applyFont="1" applyFill="1" applyBorder="1"/>
    <xf numFmtId="3" fontId="8" fillId="4" borderId="65" xfId="0" applyNumberFormat="1" applyFont="1" applyFill="1" applyBorder="1" applyAlignment="1">
      <alignment horizontal="right"/>
    </xf>
    <xf numFmtId="3" fontId="8" fillId="4" borderId="30" xfId="0" applyNumberFormat="1" applyFont="1" applyFill="1" applyBorder="1" applyAlignment="1">
      <alignment horizontal="right"/>
    </xf>
    <xf numFmtId="3" fontId="8" fillId="4" borderId="86" xfId="0" applyNumberFormat="1" applyFont="1" applyFill="1" applyBorder="1" applyAlignment="1">
      <alignment horizontal="right"/>
    </xf>
    <xf numFmtId="0" fontId="7" fillId="2" borderId="15" xfId="0" applyFont="1" applyFill="1" applyBorder="1" applyAlignment="1">
      <alignment horizontal="center"/>
    </xf>
    <xf numFmtId="0" fontId="7" fillId="2" borderId="0" xfId="0" applyFont="1" applyFill="1" applyBorder="1" applyAlignment="1">
      <alignment horizontal="center"/>
    </xf>
    <xf numFmtId="0" fontId="7" fillId="2" borderId="16" xfId="0" applyFont="1" applyFill="1" applyBorder="1" applyAlignment="1">
      <alignment horizontal="center"/>
    </xf>
    <xf numFmtId="0" fontId="23" fillId="4" borderId="104" xfId="0" applyFont="1" applyFill="1" applyBorder="1"/>
    <xf numFmtId="3" fontId="10" fillId="4" borderId="102" xfId="0" applyNumberFormat="1" applyFont="1" applyFill="1" applyBorder="1" applyAlignment="1">
      <alignment horizontal="center"/>
    </xf>
    <xf numFmtId="3" fontId="10" fillId="4" borderId="23" xfId="0" applyNumberFormat="1" applyFont="1" applyFill="1" applyBorder="1" applyAlignment="1">
      <alignment horizontal="center"/>
    </xf>
    <xf numFmtId="3" fontId="10" fillId="4" borderId="103" xfId="0" applyNumberFormat="1" applyFont="1" applyFill="1" applyBorder="1" applyAlignment="1">
      <alignment horizontal="center"/>
    </xf>
    <xf numFmtId="1" fontId="10" fillId="4" borderId="102" xfId="0" applyNumberFormat="1" applyFont="1" applyFill="1" applyBorder="1"/>
    <xf numFmtId="1" fontId="10" fillId="4" borderId="23" xfId="0" applyNumberFormat="1" applyFont="1" applyFill="1" applyBorder="1"/>
    <xf numFmtId="1" fontId="10" fillId="4" borderId="103" xfId="0" applyNumberFormat="1" applyFont="1" applyFill="1" applyBorder="1"/>
    <xf numFmtId="0" fontId="23" fillId="2" borderId="30" xfId="0" applyFont="1" applyFill="1" applyBorder="1"/>
    <xf numFmtId="169" fontId="12" fillId="2" borderId="35" xfId="1" applyNumberFormat="1" applyFont="1" applyFill="1" applyBorder="1" applyAlignment="1">
      <alignment horizontal="center"/>
    </xf>
    <xf numFmtId="169" fontId="12" fillId="2" borderId="4" xfId="1" applyNumberFormat="1" applyFont="1" applyFill="1" applyBorder="1" applyAlignment="1">
      <alignment horizontal="center"/>
    </xf>
    <xf numFmtId="169" fontId="12" fillId="2" borderId="36" xfId="1" applyNumberFormat="1" applyFont="1" applyFill="1" applyBorder="1" applyAlignment="1">
      <alignment horizontal="center"/>
    </xf>
    <xf numFmtId="169" fontId="12" fillId="2" borderId="35" xfId="1" applyNumberFormat="1" applyFont="1" applyFill="1" applyBorder="1"/>
    <xf numFmtId="169" fontId="12" fillId="2" borderId="4" xfId="1" applyNumberFormat="1" applyFont="1" applyFill="1" applyBorder="1"/>
    <xf numFmtId="169" fontId="12" fillId="2" borderId="36" xfId="1" applyNumberFormat="1" applyFont="1" applyFill="1" applyBorder="1"/>
    <xf numFmtId="0" fontId="23" fillId="2" borderId="22" xfId="0" applyFont="1" applyFill="1" applyBorder="1"/>
    <xf numFmtId="9" fontId="12" fillId="2" borderId="9" xfId="1" applyFont="1" applyFill="1" applyBorder="1" applyAlignment="1">
      <alignment horizontal="center"/>
    </xf>
    <xf numFmtId="169" fontId="12" fillId="2" borderId="0" xfId="1" applyNumberFormat="1" applyFont="1" applyFill="1" applyBorder="1" applyAlignment="1">
      <alignment horizontal="center"/>
    </xf>
    <xf numFmtId="169" fontId="12" fillId="2" borderId="34" xfId="1" applyNumberFormat="1" applyFont="1" applyFill="1" applyBorder="1" applyAlignment="1">
      <alignment horizontal="center"/>
    </xf>
    <xf numFmtId="0" fontId="12" fillId="2" borderId="32" xfId="0" applyFont="1" applyFill="1" applyBorder="1"/>
    <xf numFmtId="0" fontId="23" fillId="2" borderId="48" xfId="0" applyFont="1" applyFill="1" applyBorder="1"/>
    <xf numFmtId="169" fontId="21" fillId="7" borderId="44" xfId="1" applyNumberFormat="1" applyFont="1" applyFill="1" applyBorder="1" applyAlignment="1">
      <alignment horizontal="center"/>
    </xf>
    <xf numFmtId="169" fontId="21" fillId="7" borderId="2" xfId="1" applyNumberFormat="1" applyFont="1" applyFill="1" applyBorder="1" applyAlignment="1">
      <alignment horizontal="center"/>
    </xf>
    <xf numFmtId="169" fontId="21" fillId="7" borderId="45" xfId="1" applyNumberFormat="1" applyFont="1" applyFill="1" applyBorder="1" applyAlignment="1">
      <alignment horizontal="center"/>
    </xf>
    <xf numFmtId="169" fontId="22" fillId="0" borderId="30" xfId="0" applyNumberFormat="1" applyFont="1" applyBorder="1" applyAlignment="1">
      <alignment horizontal="left"/>
    </xf>
    <xf numFmtId="169" fontId="21" fillId="2" borderId="35" xfId="1" applyNumberFormat="1" applyFont="1" applyFill="1" applyBorder="1" applyAlignment="1">
      <alignment horizontal="center"/>
    </xf>
    <xf numFmtId="169" fontId="21" fillId="2" borderId="4" xfId="1" applyNumberFormat="1" applyFont="1" applyFill="1" applyBorder="1" applyAlignment="1">
      <alignment horizontal="center"/>
    </xf>
    <xf numFmtId="169" fontId="21" fillId="2" borderId="36" xfId="1" applyNumberFormat="1" applyFont="1" applyFill="1" applyBorder="1" applyAlignment="1">
      <alignment horizontal="center"/>
    </xf>
    <xf numFmtId="169" fontId="21" fillId="2" borderId="35" xfId="0" applyNumberFormat="1" applyFont="1" applyFill="1" applyBorder="1"/>
    <xf numFmtId="169" fontId="21" fillId="2" borderId="4" xfId="0" applyNumberFormat="1" applyFont="1" applyFill="1" applyBorder="1"/>
    <xf numFmtId="169" fontId="21" fillId="2" borderId="4" xfId="1" applyNumberFormat="1" applyFont="1" applyFill="1" applyBorder="1"/>
    <xf numFmtId="169" fontId="75" fillId="2" borderId="36" xfId="0" quotePrefix="1" applyNumberFormat="1" applyFont="1" applyFill="1" applyBorder="1"/>
    <xf numFmtId="0" fontId="23" fillId="2" borderId="44" xfId="0" applyFont="1" applyFill="1" applyBorder="1"/>
    <xf numFmtId="0" fontId="23" fillId="2" borderId="2" xfId="0" applyFont="1" applyFill="1" applyBorder="1" applyAlignment="1">
      <alignment horizontal="center"/>
    </xf>
    <xf numFmtId="0" fontId="23" fillId="6" borderId="45" xfId="0" applyFont="1" applyFill="1" applyBorder="1"/>
    <xf numFmtId="0" fontId="75" fillId="2" borderId="9" xfId="0" applyFont="1" applyFill="1" applyBorder="1"/>
    <xf numFmtId="0" fontId="12" fillId="2" borderId="0" xfId="0" applyFont="1" applyFill="1" applyBorder="1" applyAlignment="1">
      <alignment horizontal="center"/>
    </xf>
    <xf numFmtId="4" fontId="14" fillId="2" borderId="32" xfId="0" applyNumberFormat="1" applyFont="1" applyFill="1" applyBorder="1"/>
    <xf numFmtId="0" fontId="21" fillId="2" borderId="9" xfId="0" applyFont="1" applyFill="1" applyBorder="1"/>
    <xf numFmtId="4" fontId="14" fillId="0" borderId="32" xfId="0" quotePrefix="1" applyNumberFormat="1" applyFont="1" applyBorder="1"/>
    <xf numFmtId="0" fontId="23" fillId="2" borderId="9" xfId="0" applyFont="1" applyFill="1" applyBorder="1"/>
    <xf numFmtId="0" fontId="15" fillId="2" borderId="0" xfId="0" applyFont="1" applyFill="1" applyBorder="1" applyAlignment="1">
      <alignment horizontal="center"/>
    </xf>
    <xf numFmtId="0" fontId="23" fillId="6" borderId="32" xfId="0" applyFont="1" applyFill="1" applyBorder="1"/>
    <xf numFmtId="0" fontId="21" fillId="2" borderId="33" xfId="0" applyFont="1" applyFill="1" applyBorder="1"/>
    <xf numFmtId="0" fontId="12" fillId="2" borderId="5" xfId="0" applyFont="1" applyFill="1" applyBorder="1" applyAlignment="1">
      <alignment horizontal="center"/>
    </xf>
    <xf numFmtId="2" fontId="14" fillId="0" borderId="34" xfId="0" quotePrefix="1" applyNumberFormat="1" applyFont="1" applyBorder="1"/>
    <xf numFmtId="0" fontId="21" fillId="2" borderId="44" xfId="0" applyFont="1" applyFill="1" applyBorder="1"/>
    <xf numFmtId="3" fontId="21" fillId="7" borderId="2" xfId="0" applyNumberFormat="1" applyFont="1" applyFill="1" applyBorder="1" applyAlignment="1">
      <alignment horizontal="center"/>
    </xf>
    <xf numFmtId="3" fontId="76" fillId="2" borderId="44" xfId="0" applyNumberFormat="1" applyFont="1" applyFill="1" applyBorder="1"/>
    <xf numFmtId="3" fontId="21" fillId="2" borderId="2" xfId="0" applyNumberFormat="1" applyFont="1" applyFill="1" applyBorder="1"/>
    <xf numFmtId="3" fontId="21" fillId="2" borderId="45" xfId="0" applyNumberFormat="1" applyFont="1" applyFill="1" applyBorder="1"/>
    <xf numFmtId="3" fontId="21" fillId="7" borderId="5" xfId="0" applyNumberFormat="1" applyFont="1" applyFill="1" applyBorder="1" applyAlignment="1">
      <alignment horizontal="center"/>
    </xf>
    <xf numFmtId="3" fontId="76" fillId="0" borderId="33" xfId="0" applyNumberFormat="1" applyFont="1" applyBorder="1"/>
    <xf numFmtId="3" fontId="21" fillId="2" borderId="5" xfId="0" applyNumberFormat="1" applyFont="1" applyFill="1" applyBorder="1"/>
    <xf numFmtId="3" fontId="21" fillId="2" borderId="34" xfId="0" applyNumberFormat="1" applyFont="1" applyFill="1" applyBorder="1"/>
    <xf numFmtId="0" fontId="12" fillId="5" borderId="0" xfId="0" applyFont="1" applyFill="1"/>
    <xf numFmtId="169" fontId="12" fillId="5" borderId="0" xfId="1" applyNumberFormat="1" applyFont="1" applyFill="1" applyAlignment="1">
      <alignment horizontal="center"/>
    </xf>
    <xf numFmtId="0" fontId="12" fillId="5" borderId="0" xfId="0" applyFont="1" applyFill="1" applyAlignment="1">
      <alignment horizontal="center"/>
    </xf>
    <xf numFmtId="0" fontId="15" fillId="5" borderId="0" xfId="0" applyFont="1" applyFill="1"/>
    <xf numFmtId="0" fontId="15" fillId="5" borderId="0" xfId="0" applyFont="1" applyFill="1" applyAlignment="1">
      <alignment horizontal="center"/>
    </xf>
    <xf numFmtId="1" fontId="12" fillId="5" borderId="0" xfId="0" applyNumberFormat="1" applyFont="1" applyFill="1" applyAlignment="1">
      <alignment horizontal="center"/>
    </xf>
    <xf numFmtId="1" fontId="15" fillId="5" borderId="0" xfId="0" applyNumberFormat="1" applyFont="1" applyFill="1" applyAlignment="1">
      <alignment horizontal="center"/>
    </xf>
    <xf numFmtId="0" fontId="12" fillId="2" borderId="0" xfId="0" applyFont="1" applyFill="1" applyBorder="1" applyAlignment="1">
      <alignment horizontal="left"/>
    </xf>
    <xf numFmtId="174" fontId="12" fillId="2" borderId="0" xfId="0" applyNumberFormat="1" applyFont="1" applyFill="1" applyBorder="1"/>
    <xf numFmtId="0" fontId="48" fillId="5" borderId="0" xfId="0" applyFont="1" applyFill="1" applyBorder="1"/>
    <xf numFmtId="0" fontId="77" fillId="5" borderId="0" xfId="0" applyFont="1" applyFill="1" applyBorder="1" applyAlignment="1">
      <alignment horizontal="left"/>
    </xf>
    <xf numFmtId="0" fontId="77" fillId="5" borderId="0" xfId="0" applyFont="1" applyFill="1" applyBorder="1"/>
    <xf numFmtId="0" fontId="78" fillId="5" borderId="0" xfId="0" applyFont="1" applyFill="1" applyBorder="1"/>
    <xf numFmtId="0" fontId="79" fillId="5" borderId="0" xfId="0" applyFont="1" applyFill="1" applyBorder="1" applyAlignment="1">
      <alignment horizontal="right"/>
    </xf>
    <xf numFmtId="0" fontId="48" fillId="5" borderId="0" xfId="0" applyFont="1" applyFill="1" applyBorder="1" applyAlignment="1">
      <alignment horizontal="left"/>
    </xf>
    <xf numFmtId="0" fontId="77" fillId="5" borderId="0" xfId="0" applyFont="1" applyFill="1" applyBorder="1" applyAlignment="1">
      <alignment horizontal="right"/>
    </xf>
    <xf numFmtId="0" fontId="48" fillId="5" borderId="0" xfId="0" applyFont="1" applyFill="1" applyBorder="1" applyAlignment="1"/>
    <xf numFmtId="0" fontId="24" fillId="2" borderId="0" xfId="0" applyFont="1" applyFill="1" applyBorder="1"/>
    <xf numFmtId="0" fontId="64" fillId="2" borderId="0" xfId="0" applyFont="1" applyFill="1" applyBorder="1" applyAlignment="1">
      <alignment horizontal="left"/>
    </xf>
    <xf numFmtId="0" fontId="64" fillId="2" borderId="0" xfId="0" applyFont="1" applyFill="1" applyBorder="1"/>
    <xf numFmtId="0" fontId="80" fillId="2" borderId="0" xfId="0" applyFont="1" applyFill="1" applyBorder="1"/>
    <xf numFmtId="0" fontId="63" fillId="2" borderId="0" xfId="0" applyFont="1" applyFill="1" applyBorder="1"/>
    <xf numFmtId="0" fontId="34" fillId="2" borderId="0" xfId="0" applyFont="1" applyFill="1" applyBorder="1"/>
    <xf numFmtId="0" fontId="34" fillId="2" borderId="0" xfId="0" applyFont="1" applyFill="1" applyBorder="1" applyAlignment="1"/>
    <xf numFmtId="14" fontId="34" fillId="22" borderId="35" xfId="5" applyNumberFormat="1" applyFont="1" applyFill="1" applyBorder="1" applyAlignment="1">
      <alignment horizontal="center"/>
    </xf>
    <xf numFmtId="14" fontId="24" fillId="22" borderId="4" xfId="5" applyNumberFormat="1" applyFont="1" applyFill="1" applyBorder="1" applyAlignment="1">
      <alignment horizontal="left"/>
    </xf>
    <xf numFmtId="14" fontId="24" fillId="22" borderId="36" xfId="5" applyNumberFormat="1" applyFont="1" applyFill="1" applyBorder="1" applyAlignment="1">
      <alignment horizontal="left"/>
    </xf>
    <xf numFmtId="0" fontId="25" fillId="11" borderId="30" xfId="6" applyNumberFormat="1" applyFont="1" applyFill="1" applyBorder="1" applyAlignment="1">
      <alignment horizontal="right"/>
    </xf>
    <xf numFmtId="14" fontId="12" fillId="5" borderId="30" xfId="5" applyNumberFormat="1" applyFont="1" applyFill="1" applyBorder="1" applyAlignment="1">
      <alignment horizontal="center"/>
    </xf>
    <xf numFmtId="14" fontId="15" fillId="5" borderId="30" xfId="5" applyNumberFormat="1" applyFont="1" applyFill="1" applyBorder="1" applyAlignment="1">
      <alignment horizontal="left"/>
    </xf>
    <xf numFmtId="14" fontId="15" fillId="5" borderId="35" xfId="5" applyNumberFormat="1" applyFont="1" applyFill="1" applyBorder="1" applyAlignment="1">
      <alignment horizontal="left"/>
    </xf>
    <xf numFmtId="0" fontId="25" fillId="11" borderId="30" xfId="6" applyNumberFormat="1" applyFont="1" applyFill="1" applyBorder="1" applyAlignment="1"/>
    <xf numFmtId="0" fontId="15" fillId="23" borderId="30" xfId="5" applyFont="1" applyFill="1" applyBorder="1" applyAlignment="1">
      <alignment horizontal="center"/>
    </xf>
    <xf numFmtId="0" fontId="15" fillId="23" borderId="30" xfId="5" applyFont="1" applyFill="1" applyBorder="1" applyAlignment="1">
      <alignment horizontal="left"/>
    </xf>
    <xf numFmtId="3" fontId="81" fillId="6" borderId="30" xfId="7" applyNumberFormat="1" applyFont="1" applyFill="1" applyBorder="1" applyAlignment="1" applyProtection="1">
      <alignment horizontal="right"/>
    </xf>
    <xf numFmtId="0" fontId="15" fillId="5" borderId="30" xfId="5" applyFont="1" applyFill="1" applyBorder="1" applyAlignment="1">
      <alignment horizontal="center"/>
    </xf>
    <xf numFmtId="174" fontId="15" fillId="0" borderId="30" xfId="6" applyNumberFormat="1" applyFont="1" applyFill="1" applyBorder="1" applyAlignment="1"/>
    <xf numFmtId="0" fontId="12" fillId="22" borderId="30" xfId="5" applyFont="1" applyFill="1" applyBorder="1" applyAlignment="1">
      <alignment horizontal="center"/>
    </xf>
    <xf numFmtId="0" fontId="12" fillId="22" borderId="30" xfId="5" applyFont="1" applyFill="1" applyBorder="1" applyAlignment="1">
      <alignment horizontal="left"/>
    </xf>
    <xf numFmtId="0" fontId="12" fillId="22" borderId="30" xfId="5" applyFont="1" applyFill="1" applyBorder="1" applyAlignment="1"/>
    <xf numFmtId="3" fontId="14" fillId="6" borderId="30" xfId="2" applyNumberFormat="1" applyFont="1" applyFill="1" applyBorder="1" applyAlignment="1" applyProtection="1">
      <protection locked="0"/>
    </xf>
    <xf numFmtId="0" fontId="15" fillId="0" borderId="30" xfId="5" applyFont="1" applyFill="1" applyBorder="1" applyAlignment="1">
      <alignment horizontal="center"/>
    </xf>
    <xf numFmtId="0" fontId="15" fillId="0" borderId="30" xfId="5" applyFont="1" applyFill="1" applyBorder="1" applyAlignment="1"/>
    <xf numFmtId="0" fontId="15" fillId="0" borderId="35" xfId="5" applyFont="1" applyFill="1" applyBorder="1" applyAlignment="1"/>
    <xf numFmtId="174" fontId="15" fillId="6" borderId="30" xfId="2" applyNumberFormat="1" applyFont="1" applyFill="1" applyBorder="1" applyAlignment="1" applyProtection="1">
      <protection locked="0"/>
    </xf>
    <xf numFmtId="0" fontId="12" fillId="23" borderId="30" xfId="5" applyFont="1" applyFill="1" applyBorder="1" applyAlignment="1">
      <alignment horizontal="center"/>
    </xf>
    <xf numFmtId="0" fontId="12" fillId="23" borderId="30" xfId="5" applyFont="1" applyFill="1" applyBorder="1" applyAlignment="1">
      <alignment horizontal="left"/>
    </xf>
    <xf numFmtId="0" fontId="12" fillId="0" borderId="30" xfId="5" applyFont="1" applyFill="1" applyBorder="1" applyAlignment="1">
      <alignment horizontal="center"/>
    </xf>
    <xf numFmtId="0" fontId="12" fillId="0" borderId="30" xfId="5" applyFont="1" applyFill="1" applyBorder="1" applyAlignment="1">
      <alignment horizontal="left"/>
    </xf>
    <xf numFmtId="0" fontId="12" fillId="0" borderId="35" xfId="5" applyFont="1" applyFill="1" applyBorder="1" applyAlignment="1">
      <alignment horizontal="left"/>
    </xf>
    <xf numFmtId="174" fontId="12" fillId="6" borderId="30" xfId="2" applyNumberFormat="1" applyFont="1" applyFill="1" applyBorder="1" applyAlignment="1" applyProtection="1"/>
    <xf numFmtId="3" fontId="14" fillId="2" borderId="0" xfId="2" applyNumberFormat="1" applyFont="1" applyFill="1" applyBorder="1"/>
    <xf numFmtId="3" fontId="14" fillId="2" borderId="0" xfId="0" applyNumberFormat="1" applyFont="1" applyFill="1" applyBorder="1"/>
    <xf numFmtId="0" fontId="15" fillId="5" borderId="30" xfId="5" applyFont="1" applyFill="1" applyBorder="1" applyAlignment="1"/>
    <xf numFmtId="0" fontId="15" fillId="5" borderId="35" xfId="5" applyFont="1" applyFill="1" applyBorder="1" applyAlignment="1"/>
    <xf numFmtId="174" fontId="15" fillId="5" borderId="30" xfId="2" applyNumberFormat="1" applyFont="1" applyFill="1" applyBorder="1" applyAlignment="1" applyProtection="1">
      <protection locked="0"/>
    </xf>
    <xf numFmtId="0" fontId="15" fillId="5" borderId="30" xfId="5" applyFont="1" applyFill="1" applyBorder="1" applyAlignment="1">
      <alignment horizontal="left"/>
    </xf>
    <xf numFmtId="0" fontId="15" fillId="5" borderId="35" xfId="5" applyFont="1" applyFill="1" applyBorder="1" applyAlignment="1">
      <alignment horizontal="left"/>
    </xf>
    <xf numFmtId="0" fontId="15" fillId="6" borderId="35" xfId="5" applyFont="1" applyFill="1" applyBorder="1" applyAlignment="1"/>
    <xf numFmtId="0" fontId="12" fillId="0" borderId="0" xfId="0" applyFont="1" applyFill="1" applyBorder="1"/>
    <xf numFmtId="14" fontId="15" fillId="5" borderId="30" xfId="5" applyNumberFormat="1" applyFont="1" applyFill="1" applyBorder="1" applyAlignment="1">
      <alignment horizontal="center"/>
    </xf>
    <xf numFmtId="14" fontId="15" fillId="5" borderId="30" xfId="5" applyNumberFormat="1" applyFont="1" applyFill="1" applyBorder="1" applyAlignment="1"/>
    <xf numFmtId="14" fontId="15" fillId="5" borderId="35" xfId="5" applyNumberFormat="1" applyFont="1" applyFill="1" applyBorder="1" applyAlignment="1"/>
    <xf numFmtId="174" fontId="27" fillId="6" borderId="30" xfId="2" applyNumberFormat="1" applyFont="1" applyFill="1" applyBorder="1" applyAlignment="1" applyProtection="1"/>
    <xf numFmtId="0" fontId="12" fillId="2" borderId="0" xfId="0" applyFont="1" applyFill="1" applyBorder="1" applyAlignment="1"/>
    <xf numFmtId="3" fontId="42" fillId="2" borderId="0" xfId="0" applyNumberFormat="1" applyFont="1" applyFill="1" applyAlignment="1">
      <alignment horizontal="right"/>
    </xf>
    <xf numFmtId="3" fontId="41" fillId="2" borderId="0" xfId="0" applyNumberFormat="1" applyFont="1" applyFill="1" applyAlignment="1">
      <alignment horizontal="right"/>
    </xf>
    <xf numFmtId="38" fontId="8" fillId="2" borderId="0" xfId="0" applyNumberFormat="1" applyFont="1" applyFill="1"/>
    <xf numFmtId="3" fontId="42" fillId="2" borderId="1" xfId="0" applyNumberFormat="1" applyFont="1" applyFill="1" applyBorder="1" applyAlignment="1">
      <alignment horizontal="right"/>
    </xf>
    <xf numFmtId="3" fontId="42" fillId="2" borderId="0" xfId="1" applyNumberFormat="1" applyFont="1" applyFill="1" applyBorder="1" applyAlignment="1">
      <alignment horizontal="right"/>
    </xf>
    <xf numFmtId="3" fontId="42" fillId="2" borderId="0" xfId="0" applyNumberFormat="1" applyFont="1" applyFill="1" applyBorder="1" applyAlignment="1">
      <alignment horizontal="right"/>
    </xf>
    <xf numFmtId="3" fontId="42" fillId="2" borderId="2" xfId="0" applyNumberFormat="1" applyFont="1" applyFill="1" applyBorder="1" applyAlignment="1">
      <alignment horizontal="right"/>
    </xf>
    <xf numFmtId="0" fontId="42" fillId="2" borderId="0" xfId="0" applyFont="1" applyFill="1"/>
    <xf numFmtId="0" fontId="42" fillId="2" borderId="1" xfId="0" applyFont="1" applyFill="1" applyBorder="1"/>
    <xf numFmtId="3" fontId="44" fillId="2" borderId="0" xfId="0" applyNumberFormat="1" applyFont="1" applyFill="1" applyAlignment="1">
      <alignment horizontal="right"/>
    </xf>
    <xf numFmtId="0" fontId="82" fillId="4" borderId="0" xfId="0" applyFont="1" applyFill="1"/>
    <xf numFmtId="0" fontId="83" fillId="4" borderId="0" xfId="0" applyFont="1" applyFill="1" applyAlignment="1">
      <alignment horizontal="right"/>
    </xf>
    <xf numFmtId="0" fontId="12" fillId="11" borderId="0" xfId="0" applyFont="1" applyFill="1"/>
    <xf numFmtId="0" fontId="12" fillId="2" borderId="0" xfId="0" applyFont="1" applyFill="1" applyAlignment="1">
      <alignment horizontal="left"/>
    </xf>
    <xf numFmtId="0" fontId="84" fillId="4" borderId="0" xfId="0" applyFont="1" applyFill="1" applyBorder="1" applyAlignment="1"/>
    <xf numFmtId="0" fontId="48" fillId="4" borderId="0" xfId="0" applyFont="1" applyFill="1" applyBorder="1" applyAlignment="1"/>
    <xf numFmtId="0" fontId="48" fillId="4" borderId="0" xfId="0" applyFont="1" applyFill="1" applyBorder="1" applyAlignment="1">
      <alignment horizontal="center"/>
    </xf>
    <xf numFmtId="0" fontId="48" fillId="4" borderId="0" xfId="0" applyFont="1" applyFill="1" applyBorder="1" applyAlignment="1">
      <alignment horizontal="left"/>
    </xf>
    <xf numFmtId="0" fontId="29" fillId="24" borderId="0" xfId="0" applyFont="1" applyFill="1"/>
    <xf numFmtId="0" fontId="12" fillId="24" borderId="0" xfId="0" applyFont="1" applyFill="1"/>
    <xf numFmtId="0" fontId="12" fillId="24" borderId="0" xfId="0" applyFont="1" applyFill="1" applyAlignment="1">
      <alignment horizontal="left"/>
    </xf>
    <xf numFmtId="0" fontId="15" fillId="24" borderId="0" xfId="0" applyFont="1" applyFill="1"/>
    <xf numFmtId="0" fontId="15" fillId="24" borderId="0" xfId="0" applyFont="1" applyFill="1" applyAlignment="1">
      <alignment horizontal="left"/>
    </xf>
    <xf numFmtId="0" fontId="15" fillId="0" borderId="0" xfId="0" applyFont="1"/>
    <xf numFmtId="178" fontId="24" fillId="5" borderId="122" xfId="2" applyNumberFormat="1" applyFont="1" applyFill="1" applyBorder="1" applyAlignment="1" applyProtection="1">
      <alignment horizontal="center" vertical="center"/>
    </xf>
    <xf numFmtId="178" fontId="24" fillId="5" borderId="134" xfId="2" applyNumberFormat="1" applyFont="1" applyFill="1" applyBorder="1" applyAlignment="1" applyProtection="1">
      <alignment horizontal="center" vertical="center"/>
    </xf>
    <xf numFmtId="4" fontId="35" fillId="2" borderId="130" xfId="0" applyNumberFormat="1" applyFont="1" applyFill="1" applyBorder="1" applyAlignment="1">
      <alignment horizontal="center"/>
    </xf>
    <xf numFmtId="0" fontId="35" fillId="2" borderId="0" xfId="0" applyFont="1" applyFill="1" applyAlignment="1">
      <alignment horizontal="center"/>
    </xf>
    <xf numFmtId="4" fontId="34" fillId="0" borderId="129" xfId="2" applyNumberFormat="1" applyFont="1" applyBorder="1" applyAlignment="1">
      <alignment horizontal="center"/>
    </xf>
    <xf numFmtId="4" fontId="34" fillId="0" borderId="135" xfId="2" applyNumberFormat="1" applyFont="1" applyBorder="1" applyAlignment="1">
      <alignment horizontal="center"/>
    </xf>
    <xf numFmtId="4" fontId="34" fillId="0" borderId="130" xfId="2" applyNumberFormat="1" applyFont="1" applyBorder="1" applyAlignment="1">
      <alignment horizontal="center"/>
    </xf>
    <xf numFmtId="4" fontId="34" fillId="0" borderId="131" xfId="2" applyNumberFormat="1" applyFont="1" applyBorder="1" applyAlignment="1">
      <alignment horizontal="center"/>
    </xf>
    <xf numFmtId="0" fontId="35" fillId="13" borderId="136" xfId="3" applyFont="1" applyFill="1" applyBorder="1" applyAlignment="1"/>
    <xf numFmtId="0" fontId="35" fillId="13" borderId="137" xfId="3" applyFont="1" applyFill="1" applyBorder="1" applyAlignment="1"/>
    <xf numFmtId="0" fontId="35" fillId="13" borderId="138" xfId="3" applyFont="1" applyFill="1" applyBorder="1" applyAlignment="1"/>
    <xf numFmtId="4" fontId="35" fillId="13" borderId="139" xfId="2" applyNumberFormat="1" applyFont="1" applyFill="1" applyBorder="1" applyAlignment="1">
      <alignment horizontal="center"/>
    </xf>
    <xf numFmtId="4" fontId="35" fillId="2" borderId="139" xfId="0" applyNumberFormat="1" applyFont="1" applyFill="1" applyBorder="1" applyAlignment="1">
      <alignment horizontal="center"/>
    </xf>
    <xf numFmtId="4" fontId="34" fillId="0" borderId="139" xfId="2" applyNumberFormat="1" applyFont="1" applyBorder="1" applyAlignment="1">
      <alignment horizontal="center"/>
    </xf>
    <xf numFmtId="4" fontId="34" fillId="0" borderId="140" xfId="2" applyNumberFormat="1" applyFont="1" applyBorder="1" applyAlignment="1">
      <alignment horizontal="center"/>
    </xf>
    <xf numFmtId="0" fontId="33" fillId="10" borderId="141" xfId="3" applyFont="1" applyFill="1" applyBorder="1" applyAlignment="1"/>
    <xf numFmtId="4" fontId="33" fillId="10" borderId="132" xfId="2" applyNumberFormat="1" applyFont="1" applyFill="1" applyBorder="1" applyAlignment="1">
      <alignment horizontal="right"/>
    </xf>
    <xf numFmtId="4" fontId="33" fillId="10" borderId="132" xfId="2" applyNumberFormat="1" applyFont="1" applyFill="1" applyBorder="1" applyAlignment="1">
      <alignment horizontal="center"/>
    </xf>
    <xf numFmtId="4" fontId="33" fillId="10" borderId="133" xfId="2" applyNumberFormat="1" applyFont="1" applyFill="1" applyBorder="1" applyAlignment="1">
      <alignment horizontal="center"/>
    </xf>
    <xf numFmtId="0" fontId="36" fillId="9" borderId="143" xfId="0" applyFont="1" applyFill="1" applyBorder="1" applyAlignment="1">
      <alignment horizontal="center"/>
    </xf>
    <xf numFmtId="0" fontId="33" fillId="2" borderId="144" xfId="0" applyFont="1" applyFill="1" applyBorder="1"/>
    <xf numFmtId="0" fontId="35" fillId="7" borderId="145" xfId="0" applyFont="1" applyFill="1" applyBorder="1"/>
    <xf numFmtId="0" fontId="35" fillId="5" borderId="130" xfId="0" applyFont="1" applyFill="1" applyBorder="1"/>
    <xf numFmtId="0" fontId="33" fillId="2" borderId="130" xfId="0" applyFont="1" applyFill="1" applyBorder="1" applyAlignment="1">
      <alignment horizontal="center"/>
    </xf>
    <xf numFmtId="0" fontId="35" fillId="2" borderId="130" xfId="0" applyFont="1" applyFill="1" applyBorder="1" applyAlignment="1">
      <alignment horizontal="center"/>
    </xf>
    <xf numFmtId="10" fontId="35" fillId="2" borderId="130" xfId="0" applyNumberFormat="1" applyFont="1" applyFill="1" applyBorder="1" applyAlignment="1">
      <alignment horizontal="center"/>
    </xf>
    <xf numFmtId="3" fontId="8" fillId="2" borderId="22" xfId="0" applyNumberFormat="1" applyFont="1" applyFill="1" applyBorder="1" applyAlignment="1">
      <alignment horizontal="center"/>
    </xf>
    <xf numFmtId="3" fontId="8" fillId="2" borderId="97" xfId="0" applyNumberFormat="1" applyFont="1" applyFill="1" applyBorder="1" applyAlignment="1">
      <alignment horizontal="center"/>
    </xf>
    <xf numFmtId="3" fontId="8" fillId="2" borderId="15" xfId="0" applyNumberFormat="1" applyFont="1" applyFill="1" applyBorder="1"/>
    <xf numFmtId="3" fontId="8" fillId="2" borderId="16" xfId="0" applyNumberFormat="1" applyFont="1" applyFill="1" applyBorder="1"/>
    <xf numFmtId="0" fontId="85" fillId="2" borderId="15" xfId="0" applyFont="1" applyFill="1" applyBorder="1"/>
    <xf numFmtId="0" fontId="15" fillId="4" borderId="20" xfId="0" applyFont="1" applyFill="1" applyBorder="1"/>
    <xf numFmtId="0" fontId="8" fillId="4" borderId="0" xfId="0" applyFont="1" applyFill="1" applyBorder="1"/>
    <xf numFmtId="0" fontId="85" fillId="2" borderId="0" xfId="0" applyFont="1" applyFill="1" applyBorder="1"/>
    <xf numFmtId="0" fontId="8" fillId="4" borderId="1" xfId="0" applyFont="1" applyFill="1" applyBorder="1"/>
    <xf numFmtId="0" fontId="8" fillId="4" borderId="147" xfId="0" applyFont="1" applyFill="1" applyBorder="1"/>
    <xf numFmtId="167" fontId="40" fillId="0" borderId="15" xfId="0" applyNumberFormat="1" applyFont="1" applyBorder="1"/>
    <xf numFmtId="167" fontId="73" fillId="0" borderId="15" xfId="0" applyNumberFormat="1" applyFont="1" applyBorder="1"/>
    <xf numFmtId="0" fontId="23" fillId="4" borderId="106" xfId="0" applyFont="1" applyFill="1" applyBorder="1"/>
    <xf numFmtId="0" fontId="12" fillId="2" borderId="106" xfId="0" applyFont="1" applyFill="1" applyBorder="1"/>
    <xf numFmtId="0" fontId="15" fillId="4" borderId="106" xfId="0" applyFont="1" applyFill="1" applyBorder="1"/>
    <xf numFmtId="0" fontId="23" fillId="4" borderId="148" xfId="0" applyFont="1" applyFill="1" applyBorder="1"/>
    <xf numFmtId="169" fontId="22" fillId="0" borderId="35" xfId="0" applyNumberFormat="1" applyFont="1" applyBorder="1" applyAlignment="1">
      <alignment horizontal="left"/>
    </xf>
    <xf numFmtId="0" fontId="75" fillId="2" borderId="0" xfId="0" applyFont="1" applyFill="1" applyBorder="1"/>
    <xf numFmtId="0" fontId="23" fillId="2" borderId="0" xfId="0" applyFont="1" applyFill="1" applyBorder="1"/>
    <xf numFmtId="0" fontId="21" fillId="2" borderId="5" xfId="0" applyFont="1" applyFill="1" applyBorder="1"/>
    <xf numFmtId="0" fontId="21" fillId="2" borderId="2" xfId="0" applyFont="1" applyFill="1" applyBorder="1"/>
    <xf numFmtId="3" fontId="8" fillId="6" borderId="22" xfId="0" applyNumberFormat="1" applyFont="1" applyFill="1" applyBorder="1" applyAlignment="1">
      <alignment horizontal="center"/>
    </xf>
    <xf numFmtId="3" fontId="8" fillId="6" borderId="97" xfId="0" applyNumberFormat="1" applyFont="1" applyFill="1" applyBorder="1" applyAlignment="1">
      <alignment horizontal="center"/>
    </xf>
    <xf numFmtId="3" fontId="15" fillId="2" borderId="25" xfId="0" applyNumberFormat="1" applyFont="1" applyFill="1" applyBorder="1" applyAlignment="1">
      <alignment horizontal="center"/>
    </xf>
    <xf numFmtId="0" fontId="20" fillId="2" borderId="0" xfId="0" applyFont="1" applyFill="1" applyBorder="1" applyAlignment="1">
      <alignment horizontal="center"/>
    </xf>
    <xf numFmtId="169" fontId="12" fillId="7" borderId="30" xfId="0" applyNumberFormat="1" applyFont="1" applyFill="1" applyBorder="1" applyAlignment="1">
      <alignment horizontal="center"/>
    </xf>
    <xf numFmtId="0" fontId="21" fillId="2" borderId="0" xfId="0" applyFont="1" applyFill="1" applyAlignment="1">
      <alignment horizontal="center"/>
    </xf>
    <xf numFmtId="0" fontId="15" fillId="4" borderId="10" xfId="0" applyFont="1" applyFill="1" applyBorder="1" applyAlignment="1">
      <alignment horizontal="center"/>
    </xf>
    <xf numFmtId="0" fontId="15" fillId="4" borderId="3" xfId="0" applyFont="1" applyFill="1" applyBorder="1" applyAlignment="1">
      <alignment horizontal="center"/>
    </xf>
    <xf numFmtId="3" fontId="12" fillId="7" borderId="24" xfId="0" applyNumberFormat="1" applyFont="1" applyFill="1" applyBorder="1" applyAlignment="1">
      <alignment horizontal="center"/>
    </xf>
    <xf numFmtId="3" fontId="12" fillId="7" borderId="20" xfId="0" applyNumberFormat="1" applyFont="1" applyFill="1" applyBorder="1" applyAlignment="1">
      <alignment horizontal="center"/>
    </xf>
    <xf numFmtId="3" fontId="12" fillId="7" borderId="44" xfId="0" applyNumberFormat="1" applyFont="1" applyFill="1" applyBorder="1" applyAlignment="1">
      <alignment horizontal="center"/>
    </xf>
    <xf numFmtId="3" fontId="12" fillId="7" borderId="2" xfId="0" applyNumberFormat="1" applyFont="1" applyFill="1" applyBorder="1" applyAlignment="1">
      <alignment horizontal="center"/>
    </xf>
    <xf numFmtId="3" fontId="12" fillId="7" borderId="33" xfId="0" applyNumberFormat="1" applyFont="1" applyFill="1" applyBorder="1" applyAlignment="1">
      <alignment horizontal="center"/>
    </xf>
    <xf numFmtId="1" fontId="12" fillId="7" borderId="9" xfId="0" applyNumberFormat="1" applyFont="1" applyFill="1" applyBorder="1" applyAlignment="1">
      <alignment horizontal="center"/>
    </xf>
    <xf numFmtId="1" fontId="12" fillId="7" borderId="0" xfId="0" applyNumberFormat="1" applyFont="1" applyFill="1" applyBorder="1" applyAlignment="1">
      <alignment horizontal="center"/>
    </xf>
    <xf numFmtId="0" fontId="21" fillId="4" borderId="5" xfId="0" applyFont="1" applyFill="1" applyBorder="1" applyAlignment="1">
      <alignment horizontal="center"/>
    </xf>
    <xf numFmtId="3" fontId="15" fillId="4" borderId="4" xfId="0" applyNumberFormat="1" applyFont="1" applyFill="1" applyBorder="1" applyAlignment="1">
      <alignment horizontal="right"/>
    </xf>
    <xf numFmtId="3" fontId="15" fillId="4" borderId="36" xfId="0" applyNumberFormat="1" applyFont="1" applyFill="1" applyBorder="1" applyAlignment="1">
      <alignment horizontal="right"/>
    </xf>
    <xf numFmtId="3" fontId="12" fillId="2" borderId="0" xfId="0" applyNumberFormat="1" applyFont="1" applyFill="1" applyBorder="1"/>
    <xf numFmtId="3" fontId="12" fillId="2" borderId="4" xfId="1" applyNumberFormat="1" applyFont="1" applyFill="1" applyBorder="1"/>
    <xf numFmtId="3" fontId="12" fillId="2" borderId="36" xfId="1" applyNumberFormat="1" applyFont="1" applyFill="1" applyBorder="1"/>
    <xf numFmtId="3" fontId="12" fillId="2" borderId="34" xfId="0" applyNumberFormat="1" applyFont="1" applyFill="1" applyBorder="1"/>
    <xf numFmtId="0" fontId="15" fillId="19" borderId="44" xfId="0" applyFont="1" applyFill="1" applyBorder="1"/>
    <xf numFmtId="3" fontId="15" fillId="19" borderId="45" xfId="0" applyNumberFormat="1" applyFont="1" applyFill="1" applyBorder="1"/>
    <xf numFmtId="0" fontId="15" fillId="19" borderId="33" xfId="0" applyFont="1" applyFill="1" applyBorder="1"/>
    <xf numFmtId="3" fontId="15" fillId="19" borderId="34" xfId="0" applyNumberFormat="1" applyFont="1" applyFill="1" applyBorder="1"/>
    <xf numFmtId="10" fontId="15" fillId="2" borderId="35" xfId="1" applyNumberFormat="1" applyFont="1" applyFill="1" applyBorder="1" applyAlignment="1">
      <alignment horizontal="right"/>
    </xf>
    <xf numFmtId="169" fontId="12" fillId="2" borderId="35" xfId="1" applyNumberFormat="1" applyFont="1" applyFill="1" applyBorder="1" applyAlignment="1">
      <alignment horizontal="right"/>
    </xf>
    <xf numFmtId="0" fontId="88" fillId="2" borderId="0" xfId="0" applyFont="1" applyFill="1" applyAlignment="1">
      <alignment horizontal="right"/>
    </xf>
    <xf numFmtId="0" fontId="24" fillId="4" borderId="10" xfId="0" applyFont="1" applyFill="1" applyBorder="1"/>
    <xf numFmtId="0" fontId="34" fillId="2" borderId="9" xfId="0" applyFont="1" applyFill="1" applyBorder="1"/>
    <xf numFmtId="3" fontId="34" fillId="7" borderId="9" xfId="0" applyNumberFormat="1" applyFont="1" applyFill="1" applyBorder="1" applyAlignment="1">
      <alignment horizontal="right"/>
    </xf>
    <xf numFmtId="3" fontId="34" fillId="7" borderId="0" xfId="0" applyNumberFormat="1" applyFont="1" applyFill="1" applyBorder="1" applyAlignment="1">
      <alignment horizontal="right"/>
    </xf>
    <xf numFmtId="3" fontId="34" fillId="7" borderId="32" xfId="0" applyNumberFormat="1" applyFont="1" applyFill="1" applyBorder="1" applyAlignment="1">
      <alignment horizontal="right"/>
    </xf>
    <xf numFmtId="3" fontId="34" fillId="7" borderId="52" xfId="0" applyNumberFormat="1" applyFont="1" applyFill="1" applyBorder="1" applyAlignment="1">
      <alignment horizontal="right"/>
    </xf>
    <xf numFmtId="3" fontId="34" fillId="7" borderId="53" xfId="0" applyNumberFormat="1" applyFont="1" applyFill="1" applyBorder="1" applyAlignment="1">
      <alignment horizontal="right"/>
    </xf>
    <xf numFmtId="0" fontId="34" fillId="2" borderId="33" xfId="0" applyFont="1" applyFill="1" applyBorder="1"/>
    <xf numFmtId="3" fontId="34" fillId="7" borderId="33" xfId="0" applyNumberFormat="1" applyFont="1" applyFill="1" applyBorder="1" applyAlignment="1">
      <alignment horizontal="right"/>
    </xf>
    <xf numFmtId="3" fontId="34" fillId="7" borderId="5" xfId="0" applyNumberFormat="1" applyFont="1" applyFill="1" applyBorder="1" applyAlignment="1">
      <alignment horizontal="right"/>
    </xf>
    <xf numFmtId="3" fontId="34" fillId="7" borderId="34" xfId="0" applyNumberFormat="1" applyFont="1" applyFill="1" applyBorder="1" applyAlignment="1">
      <alignment horizontal="right"/>
    </xf>
    <xf numFmtId="3" fontId="34" fillId="2" borderId="34" xfId="0" applyNumberFormat="1" applyFont="1" applyFill="1" applyBorder="1" applyAlignment="1">
      <alignment horizontal="right"/>
    </xf>
    <xf numFmtId="169" fontId="34" fillId="2" borderId="33" xfId="1" applyNumberFormat="1" applyFont="1" applyFill="1" applyBorder="1" applyAlignment="1">
      <alignment horizontal="right"/>
    </xf>
    <xf numFmtId="169" fontId="34" fillId="2" borderId="5" xfId="1" applyNumberFormat="1" applyFont="1" applyFill="1" applyBorder="1" applyAlignment="1">
      <alignment horizontal="right"/>
    </xf>
    <xf numFmtId="169" fontId="34" fillId="2" borderId="34" xfId="1" applyNumberFormat="1" applyFont="1" applyFill="1" applyBorder="1" applyAlignment="1">
      <alignment horizontal="right"/>
    </xf>
    <xf numFmtId="0" fontId="34" fillId="2" borderId="35" xfId="0" applyFont="1" applyFill="1" applyBorder="1"/>
    <xf numFmtId="169" fontId="34" fillId="7" borderId="30" xfId="0" applyNumberFormat="1" applyFont="1" applyFill="1" applyBorder="1" applyAlignment="1">
      <alignment horizontal="right"/>
    </xf>
    <xf numFmtId="0" fontId="34" fillId="2" borderId="0" xfId="0" applyFont="1" applyFill="1" applyAlignment="1">
      <alignment horizontal="right"/>
    </xf>
    <xf numFmtId="0" fontId="24" fillId="2" borderId="1" xfId="0" applyFont="1" applyFill="1" applyBorder="1" applyAlignment="1">
      <alignment horizontal="right"/>
    </xf>
    <xf numFmtId="0" fontId="24" fillId="2" borderId="1" xfId="0" applyFont="1" applyFill="1" applyBorder="1" applyAlignment="1">
      <alignment horizontal="center"/>
    </xf>
    <xf numFmtId="0" fontId="24" fillId="2" borderId="34" xfId="0" applyFont="1" applyFill="1" applyBorder="1" applyAlignment="1">
      <alignment horizontal="center"/>
    </xf>
    <xf numFmtId="169" fontId="34" fillId="6" borderId="24" xfId="0" applyNumberFormat="1" applyFont="1" applyFill="1" applyBorder="1" applyAlignment="1">
      <alignment horizontal="right"/>
    </xf>
    <xf numFmtId="169" fontId="34" fillId="6" borderId="20" xfId="0" applyNumberFormat="1" applyFont="1" applyFill="1" applyBorder="1" applyAlignment="1">
      <alignment horizontal="right"/>
    </xf>
    <xf numFmtId="0" fontId="34" fillId="2" borderId="20" xfId="0" applyFont="1" applyFill="1" applyBorder="1"/>
    <xf numFmtId="0" fontId="24" fillId="2" borderId="0" xfId="0" applyFont="1" applyFill="1" applyAlignment="1">
      <alignment horizontal="center"/>
    </xf>
    <xf numFmtId="3" fontId="34" fillId="2" borderId="10" xfId="0" applyNumberFormat="1" applyFont="1" applyFill="1" applyBorder="1" applyAlignment="1">
      <alignment horizontal="right"/>
    </xf>
    <xf numFmtId="3" fontId="34" fillId="2" borderId="3" xfId="0" applyNumberFormat="1" applyFont="1" applyFill="1" applyBorder="1" applyAlignment="1">
      <alignment horizontal="right"/>
    </xf>
    <xf numFmtId="0" fontId="34" fillId="2" borderId="31" xfId="0" applyFont="1" applyFill="1" applyBorder="1"/>
    <xf numFmtId="0" fontId="24" fillId="4" borderId="35" xfId="0" applyFont="1" applyFill="1" applyBorder="1"/>
    <xf numFmtId="10" fontId="34" fillId="2" borderId="35" xfId="1" applyNumberFormat="1" applyFont="1" applyFill="1" applyBorder="1" applyAlignment="1">
      <alignment horizontal="right"/>
    </xf>
    <xf numFmtId="10" fontId="34" fillId="2" borderId="4" xfId="1" applyNumberFormat="1" applyFont="1" applyFill="1" applyBorder="1" applyAlignment="1">
      <alignment horizontal="right"/>
    </xf>
    <xf numFmtId="169" fontId="34" fillId="2" borderId="4" xfId="1" applyNumberFormat="1" applyFont="1" applyFill="1" applyBorder="1" applyAlignment="1">
      <alignment horizontal="right"/>
    </xf>
    <xf numFmtId="169" fontId="34" fillId="2" borderId="0" xfId="1" applyNumberFormat="1" applyFont="1" applyFill="1" applyBorder="1" applyAlignment="1">
      <alignment horizontal="right"/>
    </xf>
    <xf numFmtId="169" fontId="24" fillId="2" borderId="0" xfId="1" applyNumberFormat="1" applyFont="1" applyFill="1" applyBorder="1" applyAlignment="1">
      <alignment horizontal="right"/>
    </xf>
    <xf numFmtId="0" fontId="24" fillId="2" borderId="35" xfId="0" applyFont="1" applyFill="1" applyBorder="1"/>
    <xf numFmtId="0" fontId="89" fillId="2" borderId="4" xfId="0" applyFont="1" applyFill="1" applyBorder="1"/>
    <xf numFmtId="10" fontId="24" fillId="7" borderId="35" xfId="1" applyNumberFormat="1" applyFont="1" applyFill="1" applyBorder="1" applyAlignment="1">
      <alignment horizontal="right"/>
    </xf>
    <xf numFmtId="10" fontId="24" fillId="7" borderId="20" xfId="1" applyNumberFormat="1" applyFont="1" applyFill="1" applyBorder="1" applyAlignment="1">
      <alignment horizontal="right"/>
    </xf>
    <xf numFmtId="10" fontId="24" fillId="7" borderId="57" xfId="1" applyNumberFormat="1" applyFont="1" applyFill="1" applyBorder="1" applyAlignment="1">
      <alignment horizontal="right"/>
    </xf>
    <xf numFmtId="10" fontId="24" fillId="7" borderId="4" xfId="1" applyNumberFormat="1" applyFont="1" applyFill="1" applyBorder="1" applyAlignment="1">
      <alignment horizontal="right"/>
    </xf>
    <xf numFmtId="10" fontId="24" fillId="7" borderId="36" xfId="1" applyNumberFormat="1" applyFont="1" applyFill="1" applyBorder="1" applyAlignment="1">
      <alignment horizontal="right"/>
    </xf>
    <xf numFmtId="0" fontId="34" fillId="2" borderId="5" xfId="0" applyFont="1" applyFill="1" applyBorder="1"/>
    <xf numFmtId="169" fontId="34" fillId="6" borderId="33" xfId="1" applyNumberFormat="1" applyFont="1" applyFill="1" applyBorder="1" applyAlignment="1">
      <alignment horizontal="right"/>
    </xf>
    <xf numFmtId="169" fontId="34" fillId="6" borderId="5" xfId="1" applyNumberFormat="1" applyFont="1" applyFill="1" applyBorder="1" applyAlignment="1">
      <alignment horizontal="right"/>
    </xf>
    <xf numFmtId="169" fontId="34" fillId="6" borderId="34" xfId="1" applyNumberFormat="1" applyFont="1" applyFill="1" applyBorder="1" applyAlignment="1">
      <alignment horizontal="right"/>
    </xf>
    <xf numFmtId="0" fontId="34" fillId="2" borderId="4" xfId="0" applyFont="1" applyFill="1" applyBorder="1"/>
    <xf numFmtId="10" fontId="34" fillId="2" borderId="36" xfId="1" applyNumberFormat="1" applyFont="1" applyFill="1" applyBorder="1" applyAlignment="1">
      <alignment horizontal="right"/>
    </xf>
    <xf numFmtId="0" fontId="34" fillId="2" borderId="54" xfId="0" applyFont="1" applyFill="1" applyBorder="1"/>
    <xf numFmtId="0" fontId="34" fillId="2" borderId="51" xfId="0" applyFont="1" applyFill="1" applyBorder="1"/>
    <xf numFmtId="169" fontId="34" fillId="6" borderId="54" xfId="1" applyNumberFormat="1" applyFont="1" applyFill="1" applyBorder="1" applyAlignment="1">
      <alignment horizontal="right"/>
    </xf>
    <xf numFmtId="169" fontId="34" fillId="6" borderId="51" xfId="1" applyNumberFormat="1" applyFont="1" applyFill="1" applyBorder="1" applyAlignment="1">
      <alignment horizontal="right"/>
    </xf>
    <xf numFmtId="169" fontId="34" fillId="6" borderId="55" xfId="1" applyNumberFormat="1" applyFont="1" applyFill="1" applyBorder="1" applyAlignment="1">
      <alignment horizontal="right"/>
    </xf>
    <xf numFmtId="0" fontId="34" fillId="2" borderId="40" xfId="0" applyFont="1" applyFill="1" applyBorder="1"/>
    <xf numFmtId="0" fontId="34" fillId="2" borderId="18" xfId="0" applyFont="1" applyFill="1" applyBorder="1"/>
    <xf numFmtId="169" fontId="34" fillId="6" borderId="40" xfId="1" applyNumberFormat="1" applyFont="1" applyFill="1" applyBorder="1" applyAlignment="1">
      <alignment horizontal="right"/>
    </xf>
    <xf numFmtId="169" fontId="34" fillId="6" borderId="18" xfId="1" applyNumberFormat="1" applyFont="1" applyFill="1" applyBorder="1" applyAlignment="1">
      <alignment horizontal="right"/>
    </xf>
    <xf numFmtId="169" fontId="34" fillId="6" borderId="42" xfId="1" applyNumberFormat="1" applyFont="1" applyFill="1" applyBorder="1" applyAlignment="1">
      <alignment horizontal="right"/>
    </xf>
    <xf numFmtId="0" fontId="34" fillId="2" borderId="28" xfId="0" applyFont="1" applyFill="1" applyBorder="1"/>
    <xf numFmtId="0" fontId="34" fillId="2" borderId="25" xfId="0" applyFont="1" applyFill="1" applyBorder="1"/>
    <xf numFmtId="169" fontId="34" fillId="6" borderId="28" xfId="1" applyNumberFormat="1" applyFont="1" applyFill="1" applyBorder="1" applyAlignment="1">
      <alignment horizontal="right"/>
    </xf>
    <xf numFmtId="169" fontId="34" fillId="6" borderId="25" xfId="1" applyNumberFormat="1" applyFont="1" applyFill="1" applyBorder="1" applyAlignment="1">
      <alignment horizontal="right"/>
    </xf>
    <xf numFmtId="169" fontId="34" fillId="6" borderId="43" xfId="1" applyNumberFormat="1" applyFont="1" applyFill="1" applyBorder="1" applyAlignment="1">
      <alignment horizontal="right"/>
    </xf>
    <xf numFmtId="0" fontId="34" fillId="2" borderId="24" xfId="0" applyFont="1" applyFill="1" applyBorder="1"/>
    <xf numFmtId="167" fontId="34" fillId="7" borderId="56" xfId="0" applyNumberFormat="1" applyFont="1" applyFill="1" applyBorder="1" applyAlignment="1">
      <alignment horizontal="center"/>
    </xf>
    <xf numFmtId="2" fontId="34" fillId="2" borderId="24" xfId="0" applyNumberFormat="1" applyFont="1" applyFill="1" applyBorder="1" applyAlignment="1">
      <alignment horizontal="right"/>
    </xf>
    <xf numFmtId="4" fontId="34" fillId="2" borderId="20" xfId="0" applyNumberFormat="1" applyFont="1" applyFill="1" applyBorder="1" applyAlignment="1">
      <alignment horizontal="right"/>
    </xf>
    <xf numFmtId="4" fontId="34" fillId="2" borderId="57" xfId="0" applyNumberFormat="1" applyFont="1" applyFill="1" applyBorder="1" applyAlignment="1">
      <alignment horizontal="right"/>
    </xf>
    <xf numFmtId="167" fontId="34" fillId="6" borderId="22" xfId="0" applyNumberFormat="1" applyFont="1" applyFill="1" applyBorder="1" applyAlignment="1">
      <alignment horizontal="center"/>
    </xf>
    <xf numFmtId="2" fontId="34" fillId="2" borderId="9" xfId="0" applyNumberFormat="1" applyFont="1" applyFill="1" applyBorder="1" applyAlignment="1">
      <alignment horizontal="right"/>
    </xf>
    <xf numFmtId="4" fontId="34" fillId="2" borderId="0" xfId="0" applyNumberFormat="1" applyFont="1" applyFill="1" applyBorder="1" applyAlignment="1">
      <alignment horizontal="right"/>
    </xf>
    <xf numFmtId="4" fontId="34" fillId="2" borderId="32" xfId="0" applyNumberFormat="1" applyFont="1" applyFill="1" applyBorder="1" applyAlignment="1">
      <alignment horizontal="right"/>
    </xf>
    <xf numFmtId="0" fontId="24" fillId="2" borderId="10" xfId="0" applyFont="1" applyFill="1" applyBorder="1"/>
    <xf numFmtId="167" fontId="24" fillId="6" borderId="23" xfId="0" applyNumberFormat="1" applyFont="1" applyFill="1" applyBorder="1" applyAlignment="1">
      <alignment horizontal="center"/>
    </xf>
    <xf numFmtId="2" fontId="24" fillId="2" borderId="10" xfId="0" applyNumberFormat="1" applyFont="1" applyFill="1" applyBorder="1" applyAlignment="1">
      <alignment horizontal="right"/>
    </xf>
    <xf numFmtId="4" fontId="24" fillId="2" borderId="3" xfId="0" applyNumberFormat="1" applyFont="1" applyFill="1" applyBorder="1" applyAlignment="1">
      <alignment horizontal="right"/>
    </xf>
    <xf numFmtId="4" fontId="24" fillId="2" borderId="31" xfId="0" applyNumberFormat="1" applyFont="1" applyFill="1" applyBorder="1" applyAlignment="1">
      <alignment horizontal="right"/>
    </xf>
    <xf numFmtId="2" fontId="34" fillId="2" borderId="0" xfId="0" applyNumberFormat="1" applyFont="1" applyFill="1" applyBorder="1" applyAlignment="1">
      <alignment horizontal="right"/>
    </xf>
    <xf numFmtId="2" fontId="34" fillId="2" borderId="32" xfId="0" applyNumberFormat="1" applyFont="1" applyFill="1" applyBorder="1" applyAlignment="1">
      <alignment horizontal="right"/>
    </xf>
    <xf numFmtId="0" fontId="24" fillId="2" borderId="28" xfId="0" applyFont="1" applyFill="1" applyBorder="1" applyAlignment="1">
      <alignment horizontal="left"/>
    </xf>
    <xf numFmtId="167" fontId="24" fillId="6" borderId="27" xfId="0" applyNumberFormat="1" applyFont="1" applyFill="1" applyBorder="1" applyAlignment="1">
      <alignment horizontal="center"/>
    </xf>
    <xf numFmtId="167" fontId="24" fillId="2" borderId="28" xfId="0" applyNumberFormat="1" applyFont="1" applyFill="1" applyBorder="1" applyAlignment="1">
      <alignment horizontal="right"/>
    </xf>
    <xf numFmtId="167" fontId="24" fillId="2" borderId="25" xfId="0" applyNumberFormat="1" applyFont="1" applyFill="1" applyBorder="1" applyAlignment="1">
      <alignment horizontal="right"/>
    </xf>
    <xf numFmtId="167" fontId="24" fillId="2" borderId="43" xfId="0" applyNumberFormat="1" applyFont="1" applyFill="1" applyBorder="1" applyAlignment="1">
      <alignment horizontal="right"/>
    </xf>
    <xf numFmtId="167" fontId="24" fillId="6" borderId="30" xfId="0" applyNumberFormat="1" applyFont="1" applyFill="1" applyBorder="1" applyAlignment="1">
      <alignment horizontal="center"/>
    </xf>
    <xf numFmtId="4" fontId="24" fillId="2" borderId="33" xfId="0" applyNumberFormat="1" applyFont="1" applyFill="1" applyBorder="1" applyAlignment="1">
      <alignment horizontal="right"/>
    </xf>
    <xf numFmtId="4" fontId="24" fillId="2" borderId="5" xfId="0" applyNumberFormat="1" applyFont="1" applyFill="1" applyBorder="1" applyAlignment="1">
      <alignment horizontal="right"/>
    </xf>
    <xf numFmtId="4" fontId="24" fillId="2" borderId="34" xfId="0" applyNumberFormat="1" applyFont="1" applyFill="1" applyBorder="1" applyAlignment="1">
      <alignment horizontal="right"/>
    </xf>
    <xf numFmtId="167" fontId="34" fillId="7" borderId="22" xfId="0" applyNumberFormat="1" applyFont="1" applyFill="1" applyBorder="1" applyAlignment="1">
      <alignment horizontal="center"/>
    </xf>
    <xf numFmtId="4" fontId="34" fillId="2" borderId="9" xfId="0" applyNumberFormat="1" applyFont="1" applyFill="1" applyBorder="1" applyAlignment="1">
      <alignment horizontal="right"/>
    </xf>
    <xf numFmtId="167" fontId="24" fillId="7" borderId="23" xfId="0" applyNumberFormat="1" applyFont="1" applyFill="1" applyBorder="1" applyAlignment="1">
      <alignment horizontal="center"/>
    </xf>
    <xf numFmtId="0" fontId="34" fillId="2" borderId="44" xfId="0" applyFont="1" applyFill="1" applyBorder="1"/>
    <xf numFmtId="4" fontId="34" fillId="7" borderId="48" xfId="0" applyNumberFormat="1" applyFont="1" applyFill="1" applyBorder="1" applyAlignment="1">
      <alignment horizontal="center"/>
    </xf>
    <xf numFmtId="4" fontId="34" fillId="2" borderId="2" xfId="0" applyNumberFormat="1" applyFont="1" applyFill="1" applyBorder="1" applyAlignment="1">
      <alignment horizontal="right"/>
    </xf>
    <xf numFmtId="4" fontId="34" fillId="2" borderId="45" xfId="0" applyNumberFormat="1" applyFont="1" applyFill="1" applyBorder="1" applyAlignment="1">
      <alignment horizontal="right"/>
    </xf>
    <xf numFmtId="4" fontId="34" fillId="7" borderId="22" xfId="0" applyNumberFormat="1" applyFont="1" applyFill="1" applyBorder="1" applyAlignment="1">
      <alignment horizontal="center"/>
    </xf>
    <xf numFmtId="4" fontId="24" fillId="7" borderId="30" xfId="1" applyNumberFormat="1" applyFont="1" applyFill="1" applyBorder="1" applyAlignment="1">
      <alignment horizontal="center"/>
    </xf>
    <xf numFmtId="4" fontId="24" fillId="2" borderId="4" xfId="2" applyNumberFormat="1" applyFont="1" applyFill="1" applyBorder="1" applyAlignment="1">
      <alignment horizontal="right"/>
    </xf>
    <xf numFmtId="4" fontId="24" fillId="2" borderId="36" xfId="2" applyNumberFormat="1" applyFont="1" applyFill="1" applyBorder="1" applyAlignment="1">
      <alignment horizontal="right"/>
    </xf>
    <xf numFmtId="169" fontId="34" fillId="2" borderId="56" xfId="1" applyNumberFormat="1" applyFont="1" applyFill="1" applyBorder="1" applyAlignment="1">
      <alignment horizontal="center"/>
    </xf>
    <xf numFmtId="169" fontId="34" fillId="2" borderId="24" xfId="1" applyNumberFormat="1" applyFont="1" applyFill="1" applyBorder="1" applyAlignment="1">
      <alignment horizontal="right"/>
    </xf>
    <xf numFmtId="169" fontId="34" fillId="2" borderId="20" xfId="1" applyNumberFormat="1" applyFont="1" applyFill="1" applyBorder="1" applyAlignment="1">
      <alignment horizontal="right"/>
    </xf>
    <xf numFmtId="169" fontId="34" fillId="2" borderId="57" xfId="1" applyNumberFormat="1" applyFont="1" applyFill="1" applyBorder="1" applyAlignment="1">
      <alignment horizontal="right"/>
    </xf>
    <xf numFmtId="0" fontId="24" fillId="2" borderId="0" xfId="0" applyFont="1" applyFill="1"/>
    <xf numFmtId="3" fontId="34" fillId="7" borderId="30" xfId="1" applyNumberFormat="1" applyFont="1" applyFill="1" applyBorder="1" applyAlignment="1">
      <alignment horizontal="center"/>
    </xf>
    <xf numFmtId="3" fontId="34" fillId="2" borderId="4" xfId="2" applyNumberFormat="1" applyFont="1" applyFill="1" applyBorder="1" applyAlignment="1">
      <alignment horizontal="right"/>
    </xf>
    <xf numFmtId="3" fontId="34" fillId="2" borderId="36" xfId="2" applyNumberFormat="1" applyFont="1" applyFill="1" applyBorder="1" applyAlignment="1">
      <alignment horizontal="right"/>
    </xf>
    <xf numFmtId="167" fontId="24" fillId="7" borderId="37" xfId="0" applyNumberFormat="1" applyFont="1" applyFill="1" applyBorder="1" applyAlignment="1">
      <alignment horizontal="center"/>
    </xf>
    <xf numFmtId="167" fontId="24" fillId="2" borderId="10" xfId="0" applyNumberFormat="1" applyFont="1" applyFill="1" applyBorder="1" applyAlignment="1">
      <alignment horizontal="right"/>
    </xf>
    <xf numFmtId="167" fontId="24" fillId="2" borderId="3" xfId="0" applyNumberFormat="1" applyFont="1" applyFill="1" applyBorder="1" applyAlignment="1">
      <alignment horizontal="right"/>
    </xf>
    <xf numFmtId="167" fontId="24" fillId="2" borderId="31" xfId="0" applyNumberFormat="1" applyFont="1" applyFill="1" applyBorder="1" applyAlignment="1">
      <alignment horizontal="right"/>
    </xf>
    <xf numFmtId="0" fontId="24" fillId="2" borderId="30" xfId="0" applyFont="1" applyFill="1" applyBorder="1" applyAlignment="1">
      <alignment horizontal="center"/>
    </xf>
    <xf numFmtId="4" fontId="34" fillId="2" borderId="22" xfId="0" applyNumberFormat="1" applyFont="1" applyFill="1" applyBorder="1" applyAlignment="1">
      <alignment horizontal="center"/>
    </xf>
    <xf numFmtId="4" fontId="34" fillId="2" borderId="37" xfId="0" applyNumberFormat="1" applyFont="1" applyFill="1" applyBorder="1" applyAlignment="1">
      <alignment horizontal="center"/>
    </xf>
    <xf numFmtId="3" fontId="34" fillId="7" borderId="7" xfId="0" applyNumberFormat="1" applyFont="1" applyFill="1" applyBorder="1" applyAlignment="1">
      <alignment horizontal="right"/>
    </xf>
    <xf numFmtId="3" fontId="34" fillId="7" borderId="6" xfId="0" applyNumberFormat="1" applyFont="1" applyFill="1" applyBorder="1" applyAlignment="1">
      <alignment horizontal="right"/>
    </xf>
    <xf numFmtId="3" fontId="34" fillId="7" borderId="92" xfId="0" applyNumberFormat="1" applyFont="1" applyFill="1" applyBorder="1" applyAlignment="1">
      <alignment horizontal="right"/>
    </xf>
    <xf numFmtId="3" fontId="34" fillId="2" borderId="5" xfId="0" applyNumberFormat="1" applyFont="1" applyFill="1" applyBorder="1" applyAlignment="1">
      <alignment horizontal="right"/>
    </xf>
    <xf numFmtId="1" fontId="24" fillId="4" borderId="35" xfId="1" applyNumberFormat="1" applyFont="1" applyFill="1" applyBorder="1" applyAlignment="1">
      <alignment horizontal="right"/>
    </xf>
    <xf numFmtId="1" fontId="24" fillId="4" borderId="4" xfId="1" applyNumberFormat="1" applyFont="1" applyFill="1" applyBorder="1" applyAlignment="1">
      <alignment horizontal="right"/>
    </xf>
    <xf numFmtId="1" fontId="24" fillId="4" borderId="36" xfId="1" applyNumberFormat="1" applyFont="1" applyFill="1" applyBorder="1" applyAlignment="1">
      <alignment horizontal="right"/>
    </xf>
    <xf numFmtId="0" fontId="34" fillId="4" borderId="44" xfId="0" applyFont="1" applyFill="1" applyBorder="1"/>
    <xf numFmtId="0" fontId="34" fillId="4" borderId="2" xfId="0" applyFont="1" applyFill="1" applyBorder="1"/>
    <xf numFmtId="0" fontId="34" fillId="4" borderId="2" xfId="0" applyFont="1" applyFill="1" applyBorder="1" applyAlignment="1">
      <alignment horizontal="right"/>
    </xf>
    <xf numFmtId="169" fontId="34" fillId="7" borderId="44" xfId="1" applyNumberFormat="1" applyFont="1" applyFill="1" applyBorder="1"/>
    <xf numFmtId="169" fontId="34" fillId="7" borderId="2" xfId="1" applyNumberFormat="1" applyFont="1" applyFill="1" applyBorder="1"/>
    <xf numFmtId="169" fontId="34" fillId="7" borderId="45" xfId="1" applyNumberFormat="1" applyFont="1" applyFill="1" applyBorder="1"/>
    <xf numFmtId="0" fontId="34" fillId="4" borderId="9" xfId="0" applyFont="1" applyFill="1" applyBorder="1"/>
    <xf numFmtId="0" fontId="34" fillId="4" borderId="0" xfId="0" applyFont="1" applyFill="1" applyBorder="1"/>
    <xf numFmtId="0" fontId="34" fillId="4" borderId="0" xfId="0" applyFont="1" applyFill="1" applyBorder="1" applyAlignment="1">
      <alignment horizontal="right"/>
    </xf>
    <xf numFmtId="169" fontId="34" fillId="7" borderId="9" xfId="1" applyNumberFormat="1" applyFont="1" applyFill="1" applyBorder="1"/>
    <xf numFmtId="169" fontId="34" fillId="7" borderId="0" xfId="1" applyNumberFormat="1" applyFont="1" applyFill="1" applyBorder="1"/>
    <xf numFmtId="169" fontId="34" fillId="7" borderId="32" xfId="1" applyNumberFormat="1" applyFont="1" applyFill="1" applyBorder="1"/>
    <xf numFmtId="169" fontId="34" fillId="6" borderId="9" xfId="1" applyNumberFormat="1" applyFont="1" applyFill="1" applyBorder="1"/>
    <xf numFmtId="169" fontId="34" fillId="6" borderId="0" xfId="1" applyNumberFormat="1" applyFont="1" applyFill="1" applyBorder="1"/>
    <xf numFmtId="169" fontId="34" fillId="6" borderId="32" xfId="1" applyNumberFormat="1" applyFont="1" applyFill="1" applyBorder="1"/>
    <xf numFmtId="0" fontId="34" fillId="4" borderId="33" xfId="0" applyFont="1" applyFill="1" applyBorder="1"/>
    <xf numFmtId="0" fontId="34" fillId="4" borderId="5" xfId="0" applyFont="1" applyFill="1" applyBorder="1"/>
    <xf numFmtId="0" fontId="34" fillId="4" borderId="5" xfId="0" applyFont="1" applyFill="1" applyBorder="1" applyAlignment="1">
      <alignment horizontal="right"/>
    </xf>
    <xf numFmtId="169" fontId="34" fillId="6" borderId="33" xfId="1" applyNumberFormat="1" applyFont="1" applyFill="1" applyBorder="1"/>
    <xf numFmtId="169" fontId="34" fillId="6" borderId="5" xfId="1" applyNumberFormat="1" applyFont="1" applyFill="1" applyBorder="1"/>
    <xf numFmtId="169" fontId="34" fillId="6" borderId="34" xfId="1" applyNumberFormat="1" applyFont="1" applyFill="1" applyBorder="1"/>
    <xf numFmtId="169" fontId="24" fillId="4" borderId="30" xfId="1" applyNumberFormat="1" applyFont="1" applyFill="1" applyBorder="1" applyAlignment="1">
      <alignment horizontal="right"/>
    </xf>
    <xf numFmtId="1" fontId="24" fillId="4" borderId="30" xfId="1" applyNumberFormat="1" applyFont="1" applyFill="1" applyBorder="1" applyAlignment="1">
      <alignment horizontal="right"/>
    </xf>
    <xf numFmtId="169" fontId="34" fillId="6" borderId="22" xfId="1" applyNumberFormat="1" applyFont="1" applyFill="1" applyBorder="1" applyAlignment="1">
      <alignment horizontal="right"/>
    </xf>
    <xf numFmtId="3" fontId="34" fillId="2" borderId="22" xfId="1" applyNumberFormat="1" applyFont="1" applyFill="1" applyBorder="1" applyAlignment="1">
      <alignment horizontal="right"/>
    </xf>
    <xf numFmtId="3" fontId="34" fillId="2" borderId="0" xfId="1" applyNumberFormat="1" applyFont="1" applyFill="1" applyBorder="1" applyAlignment="1">
      <alignment horizontal="right"/>
    </xf>
    <xf numFmtId="3" fontId="34" fillId="2" borderId="32" xfId="1" applyNumberFormat="1" applyFont="1" applyFill="1" applyBorder="1" applyAlignment="1">
      <alignment horizontal="right"/>
    </xf>
    <xf numFmtId="169" fontId="34" fillId="6" borderId="37" xfId="1" applyNumberFormat="1" applyFont="1" applyFill="1" applyBorder="1" applyAlignment="1">
      <alignment horizontal="right"/>
    </xf>
    <xf numFmtId="3" fontId="34" fillId="2" borderId="5" xfId="1" applyNumberFormat="1" applyFont="1" applyFill="1" applyBorder="1" applyAlignment="1">
      <alignment horizontal="right"/>
    </xf>
    <xf numFmtId="3" fontId="34" fillId="2" borderId="34" xfId="1" applyNumberFormat="1" applyFont="1" applyFill="1" applyBorder="1" applyAlignment="1">
      <alignment horizontal="right"/>
    </xf>
    <xf numFmtId="3" fontId="24" fillId="2" borderId="5" xfId="1" applyNumberFormat="1" applyFont="1" applyFill="1" applyBorder="1" applyAlignment="1">
      <alignment horizontal="right"/>
    </xf>
    <xf numFmtId="3" fontId="24" fillId="2" borderId="34" xfId="1" applyNumberFormat="1" applyFont="1" applyFill="1" applyBorder="1" applyAlignment="1">
      <alignment horizontal="right"/>
    </xf>
    <xf numFmtId="3" fontId="24" fillId="4" borderId="4" xfId="1" applyNumberFormat="1" applyFont="1" applyFill="1" applyBorder="1" applyAlignment="1">
      <alignment horizontal="right"/>
    </xf>
    <xf numFmtId="3" fontId="24" fillId="4" borderId="36" xfId="1" applyNumberFormat="1" applyFont="1" applyFill="1" applyBorder="1" applyAlignment="1">
      <alignment horizontal="right"/>
    </xf>
    <xf numFmtId="3" fontId="34" fillId="2" borderId="37" xfId="1" applyNumberFormat="1" applyFont="1" applyFill="1" applyBorder="1" applyAlignment="1">
      <alignment horizontal="right"/>
    </xf>
    <xf numFmtId="3" fontId="34" fillId="7" borderId="47" xfId="0" applyNumberFormat="1" applyFont="1" applyFill="1" applyBorder="1" applyAlignment="1">
      <alignment horizontal="right"/>
    </xf>
    <xf numFmtId="3" fontId="34" fillId="7" borderId="37" xfId="0" applyNumberFormat="1" applyFont="1" applyFill="1" applyBorder="1" applyAlignment="1">
      <alignment horizontal="right"/>
    </xf>
    <xf numFmtId="10" fontId="34" fillId="2" borderId="33" xfId="1" applyNumberFormat="1" applyFont="1" applyFill="1" applyBorder="1" applyAlignment="1">
      <alignment horizontal="right"/>
    </xf>
    <xf numFmtId="10" fontId="34" fillId="2" borderId="5" xfId="1" applyNumberFormat="1" applyFont="1" applyFill="1" applyBorder="1" applyAlignment="1">
      <alignment horizontal="right"/>
    </xf>
    <xf numFmtId="10" fontId="34" fillId="2" borderId="34" xfId="1" applyNumberFormat="1" applyFont="1" applyFill="1" applyBorder="1" applyAlignment="1">
      <alignment horizontal="right"/>
    </xf>
    <xf numFmtId="0" fontId="24" fillId="5" borderId="35" xfId="0" applyFont="1" applyFill="1" applyBorder="1"/>
    <xf numFmtId="0" fontId="34" fillId="5" borderId="36" xfId="0" applyFont="1" applyFill="1" applyBorder="1"/>
    <xf numFmtId="10" fontId="34" fillId="7" borderId="30" xfId="0" applyNumberFormat="1" applyFont="1" applyFill="1" applyBorder="1" applyAlignment="1">
      <alignment horizontal="right"/>
    </xf>
    <xf numFmtId="0" fontId="90" fillId="2" borderId="0" xfId="0" applyFont="1" applyFill="1" applyBorder="1"/>
    <xf numFmtId="167" fontId="24" fillId="2" borderId="0" xfId="0" applyNumberFormat="1" applyFont="1" applyFill="1" applyBorder="1" applyAlignment="1">
      <alignment horizontal="center"/>
    </xf>
    <xf numFmtId="2" fontId="24" fillId="2" borderId="0" xfId="0" applyNumberFormat="1" applyFont="1" applyFill="1" applyBorder="1" applyAlignment="1">
      <alignment horizontal="right"/>
    </xf>
    <xf numFmtId="4" fontId="24" fillId="2" borderId="0" xfId="0" applyNumberFormat="1" applyFont="1" applyFill="1" applyBorder="1" applyAlignment="1">
      <alignment horizontal="right"/>
    </xf>
    <xf numFmtId="4" fontId="34" fillId="2" borderId="23" xfId="0" applyNumberFormat="1" applyFont="1" applyFill="1" applyBorder="1" applyAlignment="1">
      <alignment horizontal="right"/>
    </xf>
    <xf numFmtId="3" fontId="15" fillId="4" borderId="0" xfId="0" applyNumberFormat="1" applyFont="1" applyFill="1"/>
    <xf numFmtId="0" fontId="18" fillId="2" borderId="0" xfId="0" applyFont="1" applyFill="1"/>
    <xf numFmtId="0" fontId="19" fillId="2" borderId="0" xfId="0" applyFont="1" applyFill="1" applyProtection="1"/>
    <xf numFmtId="0" fontId="23" fillId="2" borderId="36" xfId="0" applyFont="1" applyFill="1" applyBorder="1"/>
    <xf numFmtId="0" fontId="12" fillId="7" borderId="30" xfId="0" applyFont="1" applyFill="1" applyBorder="1" applyAlignment="1">
      <alignment horizontal="center"/>
    </xf>
    <xf numFmtId="3" fontId="12" fillId="7" borderId="33" xfId="0" applyNumberFormat="1" applyFont="1" applyFill="1" applyBorder="1" applyAlignment="1">
      <alignment horizontal="right"/>
    </xf>
    <xf numFmtId="3" fontId="12" fillId="7" borderId="34" xfId="0" applyNumberFormat="1" applyFont="1" applyFill="1" applyBorder="1" applyAlignment="1">
      <alignment horizontal="right"/>
    </xf>
    <xf numFmtId="3" fontId="15" fillId="4" borderId="35" xfId="0" applyNumberFormat="1" applyFont="1" applyFill="1" applyBorder="1" applyAlignment="1">
      <alignment horizontal="right"/>
    </xf>
    <xf numFmtId="0" fontId="15" fillId="4" borderId="37" xfId="0" applyFont="1" applyFill="1" applyBorder="1"/>
    <xf numFmtId="10" fontId="15" fillId="4" borderId="33" xfId="1" applyNumberFormat="1" applyFont="1" applyFill="1" applyBorder="1" applyAlignment="1">
      <alignment horizontal="right"/>
    </xf>
    <xf numFmtId="10" fontId="15" fillId="4" borderId="5" xfId="1" applyNumberFormat="1" applyFont="1" applyFill="1" applyBorder="1" applyAlignment="1">
      <alignment horizontal="right"/>
    </xf>
    <xf numFmtId="10" fontId="15" fillId="4" borderId="34" xfId="1" applyNumberFormat="1" applyFont="1" applyFill="1" applyBorder="1" applyAlignment="1">
      <alignment horizontal="right"/>
    </xf>
    <xf numFmtId="0" fontId="15" fillId="4" borderId="33" xfId="0" applyFont="1" applyFill="1" applyBorder="1" applyAlignment="1">
      <alignment horizontal="right"/>
    </xf>
    <xf numFmtId="0" fontId="15" fillId="4" borderId="5" xfId="0" applyFont="1" applyFill="1" applyBorder="1" applyAlignment="1">
      <alignment horizontal="right"/>
    </xf>
    <xf numFmtId="0" fontId="15" fillId="4" borderId="34" xfId="0" applyFont="1" applyFill="1" applyBorder="1" applyAlignment="1">
      <alignment horizontal="right"/>
    </xf>
    <xf numFmtId="10" fontId="12" fillId="2" borderId="9" xfId="1" applyNumberFormat="1" applyFont="1" applyFill="1" applyBorder="1" applyAlignment="1">
      <alignment horizontal="right"/>
    </xf>
    <xf numFmtId="169" fontId="12" fillId="2" borderId="32" xfId="1" applyNumberFormat="1" applyFont="1" applyFill="1" applyBorder="1" applyAlignment="1">
      <alignment horizontal="right"/>
    </xf>
    <xf numFmtId="169" fontId="12" fillId="2" borderId="44" xfId="1" applyNumberFormat="1" applyFont="1" applyFill="1" applyBorder="1" applyAlignment="1">
      <alignment horizontal="right"/>
    </xf>
    <xf numFmtId="169" fontId="12" fillId="2" borderId="2" xfId="1" applyNumberFormat="1" applyFont="1" applyFill="1" applyBorder="1" applyAlignment="1">
      <alignment horizontal="right"/>
    </xf>
    <xf numFmtId="169" fontId="15" fillId="2" borderId="45" xfId="1" applyNumberFormat="1" applyFont="1" applyFill="1" applyBorder="1" applyAlignment="1">
      <alignment horizontal="right"/>
    </xf>
    <xf numFmtId="169" fontId="15" fillId="2" borderId="32" xfId="1" applyNumberFormat="1" applyFont="1" applyFill="1" applyBorder="1" applyAlignment="1">
      <alignment horizontal="right"/>
    </xf>
    <xf numFmtId="10" fontId="12" fillId="2" borderId="33" xfId="1" applyNumberFormat="1" applyFont="1" applyFill="1" applyBorder="1" applyAlignment="1">
      <alignment horizontal="right"/>
    </xf>
    <xf numFmtId="0" fontId="15" fillId="4" borderId="30" xfId="0" applyFont="1" applyFill="1" applyBorder="1"/>
    <xf numFmtId="10" fontId="15" fillId="4" borderId="35" xfId="1" applyNumberFormat="1" applyFont="1" applyFill="1" applyBorder="1" applyAlignment="1">
      <alignment horizontal="right"/>
    </xf>
    <xf numFmtId="10" fontId="15" fillId="4" borderId="4" xfId="1" applyNumberFormat="1" applyFont="1" applyFill="1" applyBorder="1" applyAlignment="1">
      <alignment horizontal="right"/>
    </xf>
    <xf numFmtId="169" fontId="15" fillId="4" borderId="4" xfId="1" applyNumberFormat="1" applyFont="1" applyFill="1" applyBorder="1" applyAlignment="1">
      <alignment horizontal="right"/>
    </xf>
    <xf numFmtId="169" fontId="15" fillId="4" borderId="36" xfId="1" applyNumberFormat="1" applyFont="1" applyFill="1" applyBorder="1" applyAlignment="1">
      <alignment horizontal="right"/>
    </xf>
    <xf numFmtId="169" fontId="15" fillId="2" borderId="4" xfId="1" applyNumberFormat="1" applyFont="1" applyFill="1" applyBorder="1" applyAlignment="1">
      <alignment horizontal="right"/>
    </xf>
    <xf numFmtId="169" fontId="15" fillId="2" borderId="36" xfId="1" applyNumberFormat="1" applyFont="1" applyFill="1" applyBorder="1" applyAlignment="1">
      <alignment horizontal="right"/>
    </xf>
    <xf numFmtId="0" fontId="15" fillId="2" borderId="36" xfId="0" applyFont="1" applyFill="1" applyBorder="1"/>
    <xf numFmtId="0" fontId="12" fillId="2" borderId="2" xfId="0" applyFont="1" applyFill="1" applyBorder="1"/>
    <xf numFmtId="0" fontId="15" fillId="2" borderId="32" xfId="0" applyFont="1" applyFill="1" applyBorder="1"/>
    <xf numFmtId="0" fontId="91" fillId="2" borderId="33" xfId="0" applyFont="1" applyFill="1" applyBorder="1" applyAlignment="1">
      <alignment horizontal="right"/>
    </xf>
    <xf numFmtId="0" fontId="91" fillId="2" borderId="5" xfId="0" applyFont="1" applyFill="1" applyBorder="1" applyAlignment="1">
      <alignment horizontal="right"/>
    </xf>
    <xf numFmtId="0" fontId="15" fillId="2" borderId="32" xfId="0" applyFont="1" applyFill="1" applyBorder="1" applyAlignment="1">
      <alignment horizontal="right"/>
    </xf>
    <xf numFmtId="169" fontId="12" fillId="2" borderId="9" xfId="1" applyNumberFormat="1" applyFont="1" applyFill="1" applyBorder="1" applyAlignment="1">
      <alignment horizontal="right"/>
    </xf>
    <xf numFmtId="169" fontId="12" fillId="2" borderId="4" xfId="1" applyNumberFormat="1" applyFont="1" applyFill="1" applyBorder="1" applyAlignment="1">
      <alignment horizontal="right"/>
    </xf>
    <xf numFmtId="10" fontId="15" fillId="2" borderId="0" xfId="1" applyNumberFormat="1" applyFont="1" applyFill="1" applyBorder="1" applyAlignment="1">
      <alignment horizontal="right"/>
    </xf>
    <xf numFmtId="169" fontId="15" fillId="2" borderId="0" xfId="1" applyNumberFormat="1" applyFont="1" applyFill="1" applyBorder="1" applyAlignment="1">
      <alignment horizontal="right"/>
    </xf>
    <xf numFmtId="0" fontId="15" fillId="4" borderId="3" xfId="0" applyFont="1" applyFill="1" applyBorder="1"/>
    <xf numFmtId="0" fontId="15" fillId="4" borderId="31" xfId="0" applyFont="1" applyFill="1" applyBorder="1"/>
    <xf numFmtId="0" fontId="23" fillId="4" borderId="10" xfId="0" applyFont="1" applyFill="1" applyBorder="1" applyAlignment="1">
      <alignment horizontal="center"/>
    </xf>
    <xf numFmtId="0" fontId="23" fillId="4" borderId="23" xfId="0" applyFont="1" applyFill="1" applyBorder="1" applyAlignment="1">
      <alignment horizontal="center"/>
    </xf>
    <xf numFmtId="169" fontId="12" fillId="6" borderId="9" xfId="0" applyNumberFormat="1" applyFont="1" applyFill="1" applyBorder="1" applyAlignment="1">
      <alignment horizontal="right"/>
    </xf>
    <xf numFmtId="169" fontId="12" fillId="6" borderId="0" xfId="0" applyNumberFormat="1" applyFont="1" applyFill="1" applyBorder="1" applyAlignment="1">
      <alignment horizontal="right"/>
    </xf>
    <xf numFmtId="169" fontId="12" fillId="6" borderId="0" xfId="0" applyNumberFormat="1" applyFont="1" applyFill="1" applyBorder="1"/>
    <xf numFmtId="169" fontId="12" fillId="6" borderId="32" xfId="0" applyNumberFormat="1" applyFont="1" applyFill="1" applyBorder="1"/>
    <xf numFmtId="10" fontId="12" fillId="2" borderId="9" xfId="1" applyNumberFormat="1" applyFont="1" applyFill="1" applyBorder="1"/>
    <xf numFmtId="10" fontId="12" fillId="2" borderId="21" xfId="1" applyNumberFormat="1" applyFont="1" applyFill="1" applyBorder="1"/>
    <xf numFmtId="10" fontId="12" fillId="2" borderId="22" xfId="1" applyNumberFormat="1" applyFont="1" applyFill="1" applyBorder="1"/>
    <xf numFmtId="169" fontId="12" fillId="7" borderId="9" xfId="1" applyNumberFormat="1" applyFont="1" applyFill="1" applyBorder="1" applyAlignment="1">
      <alignment horizontal="right"/>
    </xf>
    <xf numFmtId="169" fontId="12" fillId="7" borderId="0" xfId="1" applyNumberFormat="1" applyFont="1" applyFill="1" applyBorder="1" applyAlignment="1">
      <alignment horizontal="right"/>
    </xf>
    <xf numFmtId="10" fontId="12" fillId="2" borderId="33" xfId="1" applyNumberFormat="1" applyFont="1" applyFill="1" applyBorder="1"/>
    <xf numFmtId="10" fontId="12" fillId="2" borderId="37" xfId="1" applyNumberFormat="1" applyFont="1" applyFill="1" applyBorder="1"/>
    <xf numFmtId="0" fontId="15" fillId="2" borderId="39" xfId="0" applyFont="1" applyFill="1" applyBorder="1"/>
    <xf numFmtId="169" fontId="15" fillId="2" borderId="39" xfId="1" applyNumberFormat="1" applyFont="1" applyFill="1" applyBorder="1" applyAlignment="1">
      <alignment horizontal="right"/>
    </xf>
    <xf numFmtId="169" fontId="15" fillId="2" borderId="38" xfId="1" applyNumberFormat="1" applyFont="1" applyFill="1" applyBorder="1" applyAlignment="1">
      <alignment horizontal="right"/>
    </xf>
    <xf numFmtId="169" fontId="15" fillId="2" borderId="38" xfId="1" applyNumberFormat="1" applyFont="1" applyFill="1" applyBorder="1"/>
    <xf numFmtId="169" fontId="15" fillId="2" borderId="41" xfId="1" applyNumberFormat="1" applyFont="1" applyFill="1" applyBorder="1"/>
    <xf numFmtId="10" fontId="15" fillId="2" borderId="39" xfId="1" applyNumberFormat="1" applyFont="1" applyFill="1" applyBorder="1"/>
    <xf numFmtId="10" fontId="15" fillId="2" borderId="46" xfId="1" applyNumberFormat="1" applyFont="1" applyFill="1" applyBorder="1"/>
    <xf numFmtId="0" fontId="15" fillId="2" borderId="40" xfId="0" applyFont="1" applyFill="1" applyBorder="1"/>
    <xf numFmtId="169" fontId="15" fillId="2" borderId="40" xfId="1" applyNumberFormat="1" applyFont="1" applyFill="1" applyBorder="1" applyAlignment="1">
      <alignment horizontal="right"/>
    </xf>
    <xf numFmtId="169" fontId="15" fillId="2" borderId="18" xfId="1" applyNumberFormat="1" applyFont="1" applyFill="1" applyBorder="1" applyAlignment="1">
      <alignment horizontal="right"/>
    </xf>
    <xf numFmtId="169" fontId="15" fillId="2" borderId="18" xfId="1" applyNumberFormat="1" applyFont="1" applyFill="1" applyBorder="1"/>
    <xf numFmtId="169" fontId="15" fillId="2" borderId="42" xfId="1" applyNumberFormat="1" applyFont="1" applyFill="1" applyBorder="1"/>
    <xf numFmtId="10" fontId="15" fillId="2" borderId="40" xfId="1" applyNumberFormat="1" applyFont="1" applyFill="1" applyBorder="1"/>
    <xf numFmtId="10" fontId="15" fillId="2" borderId="47" xfId="1" applyNumberFormat="1" applyFont="1" applyFill="1" applyBorder="1"/>
    <xf numFmtId="0" fontId="15" fillId="2" borderId="28" xfId="0" applyFont="1" applyFill="1" applyBorder="1"/>
    <xf numFmtId="169" fontId="15" fillId="2" borderId="28" xfId="1" applyNumberFormat="1" applyFont="1" applyFill="1" applyBorder="1" applyAlignment="1">
      <alignment horizontal="right"/>
    </xf>
    <xf numFmtId="169" fontId="15" fillId="2" borderId="25" xfId="1" applyNumberFormat="1" applyFont="1" applyFill="1" applyBorder="1" applyAlignment="1">
      <alignment horizontal="right"/>
    </xf>
    <xf numFmtId="169" fontId="15" fillId="2" borderId="25" xfId="1" applyNumberFormat="1" applyFont="1" applyFill="1" applyBorder="1"/>
    <xf numFmtId="169" fontId="15" fillId="2" borderId="43" xfId="1" applyNumberFormat="1" applyFont="1" applyFill="1" applyBorder="1"/>
    <xf numFmtId="10" fontId="15" fillId="2" borderId="28" xfId="1" applyNumberFormat="1" applyFont="1" applyFill="1" applyBorder="1"/>
    <xf numFmtId="10" fontId="15" fillId="2" borderId="27" xfId="1" applyNumberFormat="1" applyFont="1" applyFill="1" applyBorder="1"/>
    <xf numFmtId="3" fontId="12" fillId="2" borderId="32" xfId="0" applyNumberFormat="1" applyFont="1" applyFill="1" applyBorder="1"/>
    <xf numFmtId="10" fontId="15" fillId="2" borderId="44" xfId="1" applyNumberFormat="1" applyFont="1" applyFill="1" applyBorder="1"/>
    <xf numFmtId="10" fontId="15" fillId="2" borderId="48" xfId="1" applyNumberFormat="1" applyFont="1" applyFill="1" applyBorder="1"/>
    <xf numFmtId="10" fontId="15" fillId="2" borderId="9" xfId="1" applyNumberFormat="1" applyFont="1" applyFill="1" applyBorder="1"/>
    <xf numFmtId="10" fontId="15" fillId="2" borderId="22" xfId="1" applyNumberFormat="1" applyFont="1" applyFill="1" applyBorder="1"/>
    <xf numFmtId="3" fontId="12" fillId="2" borderId="5" xfId="0" applyNumberFormat="1" applyFont="1" applyFill="1" applyBorder="1"/>
    <xf numFmtId="10" fontId="15" fillId="2" borderId="33" xfId="1" applyNumberFormat="1" applyFont="1" applyFill="1" applyBorder="1"/>
    <xf numFmtId="10" fontId="15" fillId="2" borderId="37" xfId="1" applyNumberFormat="1" applyFont="1" applyFill="1" applyBorder="1"/>
    <xf numFmtId="3" fontId="15" fillId="4" borderId="4" xfId="0" applyNumberFormat="1" applyFont="1" applyFill="1" applyBorder="1"/>
    <xf numFmtId="3" fontId="15" fillId="4" borderId="36" xfId="0" applyNumberFormat="1" applyFont="1" applyFill="1" applyBorder="1"/>
    <xf numFmtId="10" fontId="15" fillId="2" borderId="30" xfId="1" applyNumberFormat="1" applyFont="1" applyFill="1" applyBorder="1"/>
    <xf numFmtId="0" fontId="12" fillId="4" borderId="4" xfId="0" applyFont="1" applyFill="1" applyBorder="1"/>
    <xf numFmtId="0" fontId="12" fillId="4" borderId="35" xfId="0" applyFont="1" applyFill="1" applyBorder="1"/>
    <xf numFmtId="0" fontId="12" fillId="4" borderId="36" xfId="0" applyFont="1" applyFill="1" applyBorder="1"/>
    <xf numFmtId="3" fontId="12" fillId="6" borderId="0" xfId="0" applyNumberFormat="1" applyFont="1" applyFill="1" applyBorder="1"/>
    <xf numFmtId="3" fontId="12" fillId="6" borderId="9" xfId="0" applyNumberFormat="1" applyFont="1" applyFill="1" applyBorder="1"/>
    <xf numFmtId="3" fontId="12" fillId="6" borderId="32" xfId="0" applyNumberFormat="1" applyFont="1" applyFill="1" applyBorder="1"/>
    <xf numFmtId="3" fontId="12" fillId="6" borderId="5" xfId="0" applyNumberFormat="1" applyFont="1" applyFill="1" applyBorder="1"/>
    <xf numFmtId="3" fontId="12" fillId="6" borderId="33" xfId="0" applyNumberFormat="1" applyFont="1" applyFill="1" applyBorder="1"/>
    <xf numFmtId="3" fontId="12" fillId="6" borderId="34" xfId="0" applyNumberFormat="1" applyFont="1" applyFill="1" applyBorder="1"/>
    <xf numFmtId="0" fontId="12" fillId="2" borderId="22" xfId="0" applyFont="1" applyFill="1" applyBorder="1" applyAlignment="1">
      <alignment horizontal="left"/>
    </xf>
    <xf numFmtId="0" fontId="12" fillId="2" borderId="37" xfId="0" applyFont="1" applyFill="1" applyBorder="1" applyAlignment="1">
      <alignment horizontal="left"/>
    </xf>
    <xf numFmtId="3" fontId="12" fillId="2" borderId="9" xfId="0" applyNumberFormat="1" applyFont="1" applyFill="1" applyBorder="1"/>
    <xf numFmtId="3" fontId="12" fillId="2" borderId="33" xfId="0" applyNumberFormat="1" applyFont="1" applyFill="1" applyBorder="1"/>
    <xf numFmtId="3" fontId="15" fillId="4" borderId="35" xfId="0" applyNumberFormat="1" applyFont="1" applyFill="1" applyBorder="1"/>
    <xf numFmtId="0" fontId="17" fillId="27" borderId="34" xfId="0" applyFont="1" applyFill="1" applyBorder="1"/>
    <xf numFmtId="0" fontId="15" fillId="2" borderId="23" xfId="0" applyFont="1" applyFill="1" applyBorder="1"/>
    <xf numFmtId="0" fontId="15" fillId="2" borderId="23" xfId="0" applyFont="1" applyFill="1" applyBorder="1" applyAlignment="1">
      <alignment horizontal="left"/>
    </xf>
    <xf numFmtId="0" fontId="10" fillId="4" borderId="10" xfId="0" applyFont="1" applyFill="1" applyBorder="1" applyAlignment="1">
      <alignment horizontal="center"/>
    </xf>
    <xf numFmtId="0" fontId="10" fillId="4" borderId="23" xfId="0" applyFont="1" applyFill="1" applyBorder="1" applyAlignment="1">
      <alignment horizontal="center"/>
    </xf>
    <xf numFmtId="0" fontId="7" fillId="2" borderId="54" xfId="0" applyFont="1" applyFill="1" applyBorder="1"/>
    <xf numFmtId="0" fontId="7" fillId="6" borderId="75" xfId="0" applyFont="1" applyFill="1" applyBorder="1" applyAlignment="1">
      <alignment horizontal="center"/>
    </xf>
    <xf numFmtId="3" fontId="7" fillId="2" borderId="51" xfId="0" applyNumberFormat="1" applyFont="1" applyFill="1" applyBorder="1" applyAlignment="1">
      <alignment horizontal="right"/>
    </xf>
    <xf numFmtId="3" fontId="7" fillId="2" borderId="51" xfId="0" applyNumberFormat="1" applyFont="1" applyFill="1" applyBorder="1"/>
    <xf numFmtId="3" fontId="7" fillId="2" borderId="55" xfId="0" applyNumberFormat="1" applyFont="1" applyFill="1" applyBorder="1"/>
    <xf numFmtId="0" fontId="71" fillId="4" borderId="10" xfId="0" applyFont="1" applyFill="1" applyBorder="1"/>
    <xf numFmtId="0" fontId="49" fillId="4" borderId="23" xfId="0" applyFont="1" applyFill="1" applyBorder="1" applyAlignment="1">
      <alignment horizontal="right"/>
    </xf>
    <xf numFmtId="0" fontId="49" fillId="4" borderId="3" xfId="0" applyFont="1" applyFill="1" applyBorder="1" applyAlignment="1">
      <alignment horizontal="right"/>
    </xf>
    <xf numFmtId="0" fontId="17" fillId="11" borderId="35" xfId="0" applyFont="1" applyFill="1" applyBorder="1"/>
    <xf numFmtId="0" fontId="62" fillId="11" borderId="4" xfId="0" applyFont="1" applyFill="1" applyBorder="1"/>
    <xf numFmtId="0" fontId="62" fillId="11" borderId="35" xfId="0" applyFont="1" applyFill="1" applyBorder="1"/>
    <xf numFmtId="0" fontId="62" fillId="11" borderId="36" xfId="0" applyFont="1" applyFill="1" applyBorder="1"/>
    <xf numFmtId="3" fontId="12" fillId="2" borderId="22" xfId="0" applyNumberFormat="1" applyFont="1" applyFill="1" applyBorder="1"/>
    <xf numFmtId="3" fontId="12" fillId="2" borderId="0" xfId="1" applyNumberFormat="1" applyFont="1" applyFill="1" applyBorder="1"/>
    <xf numFmtId="3" fontId="12" fillId="2" borderId="32" xfId="1" applyNumberFormat="1" applyFont="1" applyFill="1" applyBorder="1"/>
    <xf numFmtId="3" fontId="12" fillId="2" borderId="11" xfId="0" applyNumberFormat="1" applyFont="1" applyFill="1" applyBorder="1"/>
    <xf numFmtId="3" fontId="12" fillId="2" borderId="1" xfId="1" applyNumberFormat="1" applyFont="1" applyFill="1" applyBorder="1"/>
    <xf numFmtId="3" fontId="12" fillId="2" borderId="49" xfId="1" applyNumberFormat="1" applyFont="1" applyFill="1" applyBorder="1"/>
    <xf numFmtId="169" fontId="12" fillId="2" borderId="11" xfId="0" applyNumberFormat="1" applyFont="1" applyFill="1" applyBorder="1"/>
    <xf numFmtId="169" fontId="12" fillId="2" borderId="1" xfId="1" applyNumberFormat="1" applyFont="1" applyFill="1" applyBorder="1"/>
    <xf numFmtId="169" fontId="12" fillId="2" borderId="49" xfId="1" applyNumberFormat="1" applyFont="1" applyFill="1" applyBorder="1"/>
    <xf numFmtId="3" fontId="15" fillId="2" borderId="10" xfId="0" applyNumberFormat="1" applyFont="1" applyFill="1" applyBorder="1" applyAlignment="1">
      <alignment horizontal="center"/>
    </xf>
    <xf numFmtId="3" fontId="15" fillId="2" borderId="3" xfId="0" applyNumberFormat="1" applyFont="1" applyFill="1" applyBorder="1" applyAlignment="1">
      <alignment horizontal="center"/>
    </xf>
    <xf numFmtId="3" fontId="15" fillId="2" borderId="31" xfId="0" applyNumberFormat="1" applyFont="1" applyFill="1" applyBorder="1" applyAlignment="1">
      <alignment horizontal="center"/>
    </xf>
    <xf numFmtId="0" fontId="92" fillId="2" borderId="0" xfId="0" applyFont="1" applyFill="1"/>
    <xf numFmtId="0" fontId="93" fillId="2" borderId="0" xfId="0" applyFont="1" applyFill="1"/>
    <xf numFmtId="169" fontId="73" fillId="2" borderId="9" xfId="1" applyNumberFormat="1" applyFont="1" applyFill="1" applyBorder="1" applyAlignment="1">
      <alignment horizontal="center"/>
    </xf>
    <xf numFmtId="169" fontId="73" fillId="2" borderId="22" xfId="1" applyNumberFormat="1" applyFont="1" applyFill="1" applyBorder="1"/>
    <xf numFmtId="169" fontId="73" fillId="2" borderId="97" xfId="1" applyNumberFormat="1" applyFont="1" applyFill="1" applyBorder="1"/>
    <xf numFmtId="0" fontId="24" fillId="2" borderId="0" xfId="0" applyFont="1" applyFill="1" applyBorder="1" applyAlignment="1"/>
    <xf numFmtId="0" fontId="24" fillId="2" borderId="0" xfId="0" applyFont="1" applyFill="1" applyBorder="1" applyAlignment="1">
      <alignment horizontal="center"/>
    </xf>
    <xf numFmtId="0" fontId="24" fillId="2" borderId="0" xfId="0" applyFont="1" applyFill="1" applyBorder="1" applyAlignment="1">
      <alignment horizontal="left"/>
    </xf>
    <xf numFmtId="0" fontId="15" fillId="4" borderId="0" xfId="0" applyFont="1" applyFill="1" applyBorder="1"/>
    <xf numFmtId="0" fontId="15" fillId="2" borderId="0" xfId="0" applyFont="1" applyFill="1" applyAlignment="1">
      <alignment horizontal="left"/>
    </xf>
    <xf numFmtId="0" fontId="15" fillId="5" borderId="4" xfId="0" applyFont="1" applyFill="1" applyBorder="1"/>
    <xf numFmtId="3" fontId="15" fillId="5" borderId="4" xfId="0" applyNumberFormat="1" applyFont="1" applyFill="1" applyBorder="1" applyAlignment="1">
      <alignment horizontal="right"/>
    </xf>
    <xf numFmtId="0" fontId="15" fillId="28" borderId="4" xfId="0" applyFont="1" applyFill="1" applyBorder="1"/>
    <xf numFmtId="3" fontId="15" fillId="28" borderId="4" xfId="0" applyNumberFormat="1" applyFont="1" applyFill="1" applyBorder="1" applyAlignment="1">
      <alignment horizontal="right"/>
    </xf>
    <xf numFmtId="0" fontId="17" fillId="25" borderId="156" xfId="0" applyFont="1" applyFill="1" applyBorder="1" applyAlignment="1">
      <alignment horizontal="center" vertical="center"/>
    </xf>
    <xf numFmtId="0" fontId="15" fillId="5" borderId="5" xfId="0" applyFont="1" applyFill="1" applyBorder="1"/>
    <xf numFmtId="3" fontId="15" fillId="5" borderId="5" xfId="0" applyNumberFormat="1" applyFont="1" applyFill="1" applyBorder="1" applyAlignment="1">
      <alignment horizontal="right"/>
    </xf>
    <xf numFmtId="3" fontId="41" fillId="2" borderId="0" xfId="0" applyNumberFormat="1" applyFont="1" applyFill="1"/>
    <xf numFmtId="3" fontId="12" fillId="4" borderId="0" xfId="0" applyNumberFormat="1" applyFont="1" applyFill="1" applyAlignment="1">
      <alignment horizontal="right"/>
    </xf>
    <xf numFmtId="0" fontId="62" fillId="25" borderId="0" xfId="0" applyFont="1" applyFill="1" applyBorder="1"/>
    <xf numFmtId="3" fontId="8" fillId="7" borderId="0" xfId="0" applyNumberFormat="1" applyFont="1" applyFill="1" applyBorder="1" applyAlignment="1">
      <alignment horizontal="center"/>
    </xf>
    <xf numFmtId="1" fontId="7" fillId="7" borderId="0" xfId="0" applyNumberFormat="1" applyFont="1" applyFill="1" applyBorder="1" applyAlignment="1">
      <alignment horizontal="center"/>
    </xf>
    <xf numFmtId="3" fontId="8" fillId="6" borderId="0" xfId="0" applyNumberFormat="1" applyFont="1" applyFill="1" applyBorder="1" applyAlignment="1">
      <alignment horizontal="center"/>
    </xf>
    <xf numFmtId="0" fontId="25" fillId="25" borderId="0" xfId="0" applyFont="1" applyFill="1" applyBorder="1"/>
    <xf numFmtId="169" fontId="8" fillId="7" borderId="0" xfId="1" applyNumberFormat="1" applyFont="1" applyFill="1" applyBorder="1" applyAlignment="1">
      <alignment horizontal="center"/>
    </xf>
    <xf numFmtId="0" fontId="17" fillId="25" borderId="158" xfId="0" applyFont="1" applyFill="1" applyBorder="1"/>
    <xf numFmtId="0" fontId="17" fillId="25" borderId="158" xfId="0" applyFont="1" applyFill="1" applyBorder="1" applyAlignment="1">
      <alignment horizontal="center" vertical="center"/>
    </xf>
    <xf numFmtId="1" fontId="27" fillId="2" borderId="0" xfId="0" applyNumberFormat="1" applyFont="1" applyFill="1" applyBorder="1" applyAlignment="1">
      <alignment horizontal="right"/>
    </xf>
    <xf numFmtId="0" fontId="8" fillId="5" borderId="159" xfId="0" applyFont="1" applyFill="1" applyBorder="1"/>
    <xf numFmtId="3" fontId="8" fillId="5" borderId="159" xfId="0" applyNumberFormat="1" applyFont="1" applyFill="1" applyBorder="1" applyAlignment="1">
      <alignment horizontal="right"/>
    </xf>
    <xf numFmtId="0" fontId="15" fillId="2" borderId="0" xfId="0" applyFont="1" applyFill="1" applyBorder="1" applyAlignment="1">
      <alignment horizontal="left"/>
    </xf>
    <xf numFmtId="0" fontId="25" fillId="25" borderId="158" xfId="0" applyFont="1" applyFill="1" applyBorder="1"/>
    <xf numFmtId="0" fontId="15" fillId="4" borderId="160" xfId="0" applyFont="1" applyFill="1" applyBorder="1" applyAlignment="1">
      <alignment horizontal="left"/>
    </xf>
    <xf numFmtId="0" fontId="12" fillId="4" borderId="160" xfId="0" applyFont="1" applyFill="1" applyBorder="1" applyAlignment="1">
      <alignment horizontal="left"/>
    </xf>
    <xf numFmtId="3" fontId="8" fillId="4" borderId="160" xfId="0" applyNumberFormat="1" applyFont="1" applyFill="1" applyBorder="1" applyAlignment="1">
      <alignment horizontal="center"/>
    </xf>
    <xf numFmtId="0" fontId="95" fillId="2" borderId="0" xfId="0" applyFont="1" applyFill="1" applyBorder="1"/>
    <xf numFmtId="1" fontId="96" fillId="2" borderId="0" xfId="0" applyNumberFormat="1" applyFont="1" applyFill="1" applyBorder="1" applyAlignment="1">
      <alignment horizontal="right"/>
    </xf>
    <xf numFmtId="0" fontId="95" fillId="2" borderId="0" xfId="0" applyFont="1" applyFill="1"/>
    <xf numFmtId="3" fontId="12" fillId="2" borderId="161" xfId="0" applyNumberFormat="1" applyFont="1" applyFill="1" applyBorder="1"/>
    <xf numFmtId="3" fontId="12" fillId="2" borderId="162" xfId="0" applyNumberFormat="1" applyFont="1" applyFill="1" applyBorder="1"/>
    <xf numFmtId="3" fontId="12" fillId="2" borderId="163" xfId="0" applyNumberFormat="1" applyFont="1" applyFill="1" applyBorder="1"/>
    <xf numFmtId="3" fontId="12" fillId="2" borderId="120" xfId="0" applyNumberFormat="1" applyFont="1" applyFill="1" applyBorder="1" applyAlignment="1">
      <alignment horizontal="right"/>
    </xf>
    <xf numFmtId="3" fontId="12" fillId="2" borderId="164" xfId="0" applyNumberFormat="1" applyFont="1" applyFill="1" applyBorder="1" applyAlignment="1">
      <alignment horizontal="right"/>
    </xf>
    <xf numFmtId="3" fontId="12" fillId="2" borderId="165" xfId="0" applyNumberFormat="1" applyFont="1" applyFill="1" applyBorder="1"/>
    <xf numFmtId="3" fontId="12" fillId="2" borderId="166" xfId="0" applyNumberFormat="1" applyFont="1" applyFill="1" applyBorder="1"/>
    <xf numFmtId="3" fontId="12" fillId="2" borderId="167" xfId="0" applyNumberFormat="1" applyFont="1" applyFill="1" applyBorder="1"/>
    <xf numFmtId="3" fontId="12" fillId="2" borderId="121" xfId="0" applyNumberFormat="1" applyFont="1" applyFill="1" applyBorder="1"/>
    <xf numFmtId="3" fontId="12" fillId="2" borderId="168" xfId="0" applyNumberFormat="1" applyFont="1" applyFill="1" applyBorder="1"/>
    <xf numFmtId="3" fontId="12" fillId="2" borderId="120" xfId="0" applyNumberFormat="1" applyFont="1" applyFill="1" applyBorder="1"/>
    <xf numFmtId="3" fontId="12" fillId="2" borderId="164" xfId="0" applyNumberFormat="1" applyFont="1" applyFill="1" applyBorder="1"/>
    <xf numFmtId="3" fontId="23" fillId="2" borderId="120" xfId="0" applyNumberFormat="1" applyFont="1" applyFill="1" applyBorder="1"/>
    <xf numFmtId="3" fontId="23" fillId="2" borderId="0" xfId="0" applyNumberFormat="1" applyFont="1" applyFill="1" applyBorder="1"/>
    <xf numFmtId="3" fontId="23" fillId="2" borderId="164" xfId="0" applyNumberFormat="1" applyFont="1" applyFill="1" applyBorder="1"/>
    <xf numFmtId="3" fontId="15" fillId="2" borderId="120" xfId="0" applyNumberFormat="1" applyFont="1" applyFill="1" applyBorder="1"/>
    <xf numFmtId="3" fontId="15" fillId="2" borderId="0" xfId="0" applyNumberFormat="1" applyFont="1" applyFill="1" applyBorder="1"/>
    <xf numFmtId="3" fontId="15" fillId="2" borderId="164" xfId="0" applyNumberFormat="1" applyFont="1" applyFill="1" applyBorder="1"/>
    <xf numFmtId="3" fontId="15" fillId="5" borderId="0" xfId="0" applyNumberFormat="1" applyFont="1" applyFill="1"/>
    <xf numFmtId="3" fontId="15" fillId="5" borderId="0" xfId="0" applyNumberFormat="1" applyFont="1" applyFill="1" applyAlignment="1">
      <alignment horizontal="right"/>
    </xf>
    <xf numFmtId="168" fontId="34" fillId="2" borderId="0" xfId="0" applyNumberFormat="1" applyFont="1" applyFill="1"/>
    <xf numFmtId="0" fontId="7" fillId="2" borderId="118" xfId="0" applyFont="1" applyFill="1" applyBorder="1" applyAlignment="1">
      <alignment horizontal="right"/>
    </xf>
    <xf numFmtId="0" fontId="12" fillId="2" borderId="153" xfId="0" applyFont="1" applyFill="1" applyBorder="1"/>
    <xf numFmtId="169" fontId="12" fillId="6" borderId="153" xfId="1" applyNumberFormat="1" applyFont="1" applyFill="1" applyBorder="1" applyAlignment="1">
      <alignment horizontal="right"/>
    </xf>
    <xf numFmtId="169" fontId="12" fillId="6" borderId="0" xfId="1" applyNumberFormat="1" applyFont="1" applyFill="1" applyBorder="1" applyAlignment="1">
      <alignment horizontal="right"/>
    </xf>
    <xf numFmtId="0" fontId="12" fillId="2" borderId="0" xfId="0" applyFont="1" applyFill="1" applyBorder="1" applyAlignment="1">
      <alignment horizontal="right"/>
    </xf>
    <xf numFmtId="2" fontId="12" fillId="6" borderId="0" xfId="1" applyNumberFormat="1" applyFont="1" applyFill="1" applyBorder="1" applyAlignment="1">
      <alignment horizontal="right"/>
    </xf>
    <xf numFmtId="0" fontId="7" fillId="2" borderId="170" xfId="0" applyFont="1" applyFill="1" applyBorder="1"/>
    <xf numFmtId="169" fontId="12" fillId="6" borderId="0" xfId="1" applyNumberFormat="1" applyFont="1" applyFill="1" applyBorder="1"/>
    <xf numFmtId="2" fontId="12" fillId="2" borderId="0" xfId="0" applyNumberFormat="1" applyFont="1" applyFill="1" applyBorder="1"/>
    <xf numFmtId="2" fontId="12" fillId="2" borderId="0" xfId="2" applyNumberFormat="1" applyFont="1" applyFill="1" applyBorder="1" applyAlignment="1">
      <alignment horizontal="right"/>
    </xf>
    <xf numFmtId="0" fontId="7" fillId="2" borderId="171" xfId="0" applyFont="1" applyFill="1" applyBorder="1"/>
    <xf numFmtId="0" fontId="7" fillId="2" borderId="172" xfId="0" applyFont="1" applyFill="1" applyBorder="1"/>
    <xf numFmtId="169" fontId="12" fillId="2" borderId="173" xfId="1" applyNumberFormat="1" applyFont="1" applyFill="1" applyBorder="1"/>
    <xf numFmtId="169" fontId="12" fillId="2" borderId="174" xfId="1" applyNumberFormat="1" applyFont="1" applyFill="1" applyBorder="1"/>
    <xf numFmtId="169" fontId="12" fillId="6" borderId="173" xfId="1" applyNumberFormat="1" applyFont="1" applyFill="1" applyBorder="1"/>
    <xf numFmtId="169" fontId="12" fillId="6" borderId="174" xfId="1" applyNumberFormat="1" applyFont="1" applyFill="1" applyBorder="1"/>
    <xf numFmtId="0" fontId="12" fillId="2" borderId="173" xfId="0" applyFont="1" applyFill="1" applyBorder="1"/>
    <xf numFmtId="0" fontId="12" fillId="2" borderId="174" xfId="0" applyFont="1" applyFill="1" applyBorder="1"/>
    <xf numFmtId="2" fontId="12" fillId="2" borderId="173" xfId="0" applyNumberFormat="1" applyFont="1" applyFill="1" applyBorder="1"/>
    <xf numFmtId="2" fontId="12" fillId="2" borderId="174" xfId="0" applyNumberFormat="1" applyFont="1" applyFill="1" applyBorder="1"/>
    <xf numFmtId="2" fontId="12" fillId="2" borderId="173" xfId="2" applyNumberFormat="1" applyFont="1" applyFill="1" applyBorder="1" applyAlignment="1">
      <alignment horizontal="right"/>
    </xf>
    <xf numFmtId="2" fontId="12" fillId="2" borderId="174" xfId="2" applyNumberFormat="1" applyFont="1" applyFill="1" applyBorder="1" applyAlignment="1">
      <alignment horizontal="right"/>
    </xf>
    <xf numFmtId="0" fontId="12" fillId="2" borderId="175" xfId="0" applyFont="1" applyFill="1" applyBorder="1"/>
    <xf numFmtId="0" fontId="12" fillId="2" borderId="176" xfId="0" applyFont="1" applyFill="1" applyBorder="1"/>
    <xf numFmtId="9" fontId="12" fillId="6" borderId="0" xfId="0" applyNumberFormat="1" applyFont="1" applyFill="1" applyBorder="1"/>
    <xf numFmtId="0" fontId="12" fillId="5" borderId="0" xfId="0" applyFont="1" applyFill="1" applyBorder="1"/>
    <xf numFmtId="10" fontId="12" fillId="6" borderId="0" xfId="0" applyNumberFormat="1" applyFont="1" applyFill="1" applyBorder="1" applyAlignment="1">
      <alignment horizontal="right"/>
    </xf>
    <xf numFmtId="0" fontId="12" fillId="5" borderId="0" xfId="0" applyFont="1" applyFill="1" applyBorder="1" applyAlignment="1">
      <alignment horizontal="right"/>
    </xf>
    <xf numFmtId="9" fontId="12" fillId="2" borderId="171" xfId="0" applyNumberFormat="1" applyFont="1" applyFill="1" applyBorder="1"/>
    <xf numFmtId="9" fontId="12" fillId="6" borderId="170" xfId="0" applyNumberFormat="1" applyFont="1" applyFill="1" applyBorder="1"/>
    <xf numFmtId="9" fontId="12" fillId="6" borderId="172" xfId="0" applyNumberFormat="1" applyFont="1" applyFill="1" applyBorder="1"/>
    <xf numFmtId="0" fontId="12" fillId="5" borderId="173" xfId="0" applyFont="1" applyFill="1" applyBorder="1"/>
    <xf numFmtId="0" fontId="12" fillId="5" borderId="174" xfId="0" applyFont="1" applyFill="1" applyBorder="1"/>
    <xf numFmtId="0" fontId="57" fillId="25" borderId="50" xfId="0" applyFont="1" applyFill="1" applyBorder="1"/>
    <xf numFmtId="0" fontId="97" fillId="25" borderId="50" xfId="0" applyFont="1" applyFill="1" applyBorder="1" applyAlignment="1">
      <alignment horizontal="right"/>
    </xf>
    <xf numFmtId="0" fontId="97" fillId="25" borderId="50" xfId="0" applyFont="1" applyFill="1" applyBorder="1"/>
    <xf numFmtId="0" fontId="97" fillId="25" borderId="50" xfId="0" applyFont="1" applyFill="1" applyBorder="1" applyProtection="1"/>
    <xf numFmtId="0" fontId="97" fillId="25" borderId="50" xfId="0" quotePrefix="1" applyFont="1" applyFill="1" applyBorder="1" applyProtection="1"/>
    <xf numFmtId="0" fontId="97" fillId="25" borderId="95" xfId="0" quotePrefix="1" applyFont="1" applyFill="1" applyBorder="1" applyProtection="1"/>
    <xf numFmtId="0" fontId="37" fillId="25" borderId="178" xfId="0" applyFont="1" applyFill="1" applyBorder="1" applyAlignment="1"/>
    <xf numFmtId="0" fontId="57" fillId="25" borderId="179" xfId="0" applyFont="1" applyFill="1" applyBorder="1" applyAlignment="1"/>
    <xf numFmtId="0" fontId="57" fillId="25" borderId="180" xfId="0" applyFont="1" applyFill="1" applyBorder="1" applyAlignment="1"/>
    <xf numFmtId="0" fontId="15" fillId="4" borderId="157" xfId="0" applyFont="1" applyFill="1" applyBorder="1"/>
    <xf numFmtId="3" fontId="15" fillId="4" borderId="157" xfId="0" applyNumberFormat="1" applyFont="1" applyFill="1" applyBorder="1" applyAlignment="1">
      <alignment horizontal="right"/>
    </xf>
    <xf numFmtId="1" fontId="12" fillId="2" borderId="0" xfId="0" applyNumberFormat="1" applyFont="1" applyFill="1" applyBorder="1" applyAlignment="1">
      <alignment horizontal="right"/>
    </xf>
    <xf numFmtId="169" fontId="12" fillId="2" borderId="0" xfId="1" applyNumberFormat="1" applyFont="1" applyFill="1" applyAlignment="1">
      <alignment horizontal="right"/>
    </xf>
    <xf numFmtId="169" fontId="8" fillId="5" borderId="159" xfId="1" applyNumberFormat="1" applyFont="1" applyFill="1" applyBorder="1" applyAlignment="1">
      <alignment horizontal="right"/>
    </xf>
    <xf numFmtId="3" fontId="15" fillId="6" borderId="182" xfId="0" applyNumberFormat="1" applyFont="1" applyFill="1" applyBorder="1" applyAlignment="1">
      <alignment horizontal="center"/>
    </xf>
    <xf numFmtId="3" fontId="15" fillId="6" borderId="183" xfId="0" applyNumberFormat="1" applyFont="1" applyFill="1" applyBorder="1" applyAlignment="1">
      <alignment horizontal="center"/>
    </xf>
    <xf numFmtId="0" fontId="20" fillId="2" borderId="0" xfId="0" applyFont="1" applyFill="1" applyBorder="1" applyAlignment="1"/>
    <xf numFmtId="0" fontId="98" fillId="2" borderId="0" xfId="0" applyFont="1" applyFill="1"/>
    <xf numFmtId="0" fontId="56" fillId="21" borderId="189" xfId="0" applyFont="1" applyFill="1" applyBorder="1" applyAlignment="1">
      <alignment horizontal="right"/>
    </xf>
    <xf numFmtId="0" fontId="56" fillId="11" borderId="190" xfId="0" applyFont="1" applyFill="1" applyBorder="1"/>
    <xf numFmtId="0" fontId="98" fillId="11" borderId="160" xfId="0" applyFont="1" applyFill="1" applyBorder="1" applyAlignment="1">
      <alignment horizontal="center"/>
    </xf>
    <xf numFmtId="0" fontId="98" fillId="11" borderId="160" xfId="0" applyFont="1" applyFill="1" applyBorder="1" applyAlignment="1">
      <alignment horizontal="right"/>
    </xf>
    <xf numFmtId="0" fontId="98" fillId="11" borderId="191" xfId="0" applyFont="1" applyFill="1" applyBorder="1" applyAlignment="1">
      <alignment horizontal="right"/>
    </xf>
    <xf numFmtId="0" fontId="67" fillId="11" borderId="160" xfId="0" applyFont="1" applyFill="1" applyBorder="1" applyAlignment="1">
      <alignment horizontal="right"/>
    </xf>
    <xf numFmtId="0" fontId="67" fillId="11" borderId="160" xfId="0" applyFont="1" applyFill="1" applyBorder="1"/>
    <xf numFmtId="0" fontId="67" fillId="11" borderId="192" xfId="0" applyFont="1" applyFill="1" applyBorder="1"/>
    <xf numFmtId="1" fontId="15" fillId="2" borderId="10" xfId="0" applyNumberFormat="1" applyFont="1" applyFill="1" applyBorder="1" applyAlignment="1">
      <alignment horizontal="center"/>
    </xf>
    <xf numFmtId="3" fontId="16" fillId="2" borderId="195" xfId="0" applyNumberFormat="1" applyFont="1" applyFill="1" applyBorder="1" applyAlignment="1">
      <alignment vertical="center"/>
    </xf>
    <xf numFmtId="3" fontId="12" fillId="2" borderId="194" xfId="0" applyNumberFormat="1" applyFont="1" applyFill="1" applyBorder="1" applyAlignment="1"/>
    <xf numFmtId="3" fontId="16" fillId="2" borderId="196" xfId="0" applyNumberFormat="1" applyFont="1" applyFill="1" applyBorder="1" applyAlignment="1">
      <alignment vertical="center"/>
    </xf>
    <xf numFmtId="0" fontId="15" fillId="26" borderId="193" xfId="0" applyFont="1" applyFill="1" applyBorder="1" applyAlignment="1">
      <alignment horizontal="left" vertical="center"/>
    </xf>
    <xf numFmtId="0" fontId="24" fillId="5" borderId="197" xfId="0" applyFont="1" applyFill="1" applyBorder="1"/>
    <xf numFmtId="1" fontId="24" fillId="5" borderId="198" xfId="0" applyNumberFormat="1" applyFont="1" applyFill="1" applyBorder="1" applyAlignment="1">
      <alignment horizontal="right"/>
    </xf>
    <xf numFmtId="1" fontId="24" fillId="5" borderId="199" xfId="0" applyNumberFormat="1" applyFont="1" applyFill="1" applyBorder="1" applyAlignment="1">
      <alignment horizontal="right"/>
    </xf>
    <xf numFmtId="1" fontId="24" fillId="5" borderId="200" xfId="0" applyNumberFormat="1" applyFont="1" applyFill="1" applyBorder="1" applyAlignment="1">
      <alignment horizontal="right"/>
    </xf>
    <xf numFmtId="1" fontId="24" fillId="5" borderId="201" xfId="0" applyNumberFormat="1" applyFont="1" applyFill="1" applyBorder="1" applyAlignment="1">
      <alignment horizontal="right"/>
    </xf>
    <xf numFmtId="1" fontId="24" fillId="5" borderId="202" xfId="0" applyNumberFormat="1" applyFont="1" applyFill="1" applyBorder="1" applyAlignment="1">
      <alignment horizontal="right"/>
    </xf>
    <xf numFmtId="0" fontId="15" fillId="26" borderId="203" xfId="0" applyFont="1" applyFill="1" applyBorder="1" applyAlignment="1">
      <alignment horizontal="left" vertical="center"/>
    </xf>
    <xf numFmtId="0" fontId="15" fillId="26" borderId="204" xfId="0" applyFont="1" applyFill="1" applyBorder="1" applyAlignment="1">
      <alignment horizontal="left" vertical="center"/>
    </xf>
    <xf numFmtId="0" fontId="14" fillId="2" borderId="205" xfId="0" applyFont="1" applyFill="1" applyBorder="1" applyAlignment="1">
      <alignment horizontal="left" vertical="center" indent="1"/>
    </xf>
    <xf numFmtId="0" fontId="14" fillId="2" borderId="207" xfId="0" applyFont="1" applyFill="1" applyBorder="1" applyAlignment="1">
      <alignment horizontal="left" vertical="center" indent="1"/>
    </xf>
    <xf numFmtId="0" fontId="16" fillId="2" borderId="208" xfId="0" applyFont="1" applyFill="1" applyBorder="1" applyAlignment="1">
      <alignment vertical="center"/>
    </xf>
    <xf numFmtId="3" fontId="16" fillId="2" borderId="209" xfId="0" applyNumberFormat="1" applyFont="1" applyFill="1" applyBorder="1" applyAlignment="1">
      <alignment vertical="center"/>
    </xf>
    <xf numFmtId="3" fontId="12" fillId="2" borderId="206" xfId="0" applyNumberFormat="1" applyFont="1" applyFill="1" applyBorder="1" applyAlignment="1"/>
    <xf numFmtId="0" fontId="16" fillId="2" borderId="210" xfId="0" applyFont="1" applyFill="1" applyBorder="1" applyAlignment="1">
      <alignment vertical="center"/>
    </xf>
    <xf numFmtId="3" fontId="16" fillId="2" borderId="211" xfId="0" applyNumberFormat="1" applyFont="1" applyFill="1" applyBorder="1" applyAlignment="1">
      <alignment vertical="center"/>
    </xf>
    <xf numFmtId="0" fontId="16" fillId="4" borderId="212" xfId="0" applyFont="1" applyFill="1" applyBorder="1" applyAlignment="1">
      <alignment vertical="center"/>
    </xf>
    <xf numFmtId="3" fontId="16" fillId="4" borderId="213" xfId="0" applyNumberFormat="1" applyFont="1" applyFill="1" applyBorder="1" applyAlignment="1">
      <alignment vertical="center"/>
    </xf>
    <xf numFmtId="3" fontId="16" fillId="4" borderId="214" xfId="0" applyNumberFormat="1" applyFont="1" applyFill="1" applyBorder="1" applyAlignment="1">
      <alignment vertical="center"/>
    </xf>
    <xf numFmtId="1" fontId="12" fillId="7" borderId="33" xfId="0" applyNumberFormat="1" applyFont="1" applyFill="1" applyBorder="1" applyAlignment="1">
      <alignment horizontal="center"/>
    </xf>
    <xf numFmtId="1" fontId="12" fillId="7" borderId="5" xfId="0" applyNumberFormat="1" applyFont="1" applyFill="1" applyBorder="1" applyAlignment="1">
      <alignment horizontal="center"/>
    </xf>
    <xf numFmtId="1" fontId="12" fillId="7" borderId="5" xfId="0" applyNumberFormat="1" applyFont="1" applyFill="1" applyBorder="1"/>
    <xf numFmtId="1" fontId="12" fillId="7" borderId="34" xfId="0" applyNumberFormat="1" applyFont="1" applyFill="1" applyBorder="1"/>
    <xf numFmtId="0" fontId="66" fillId="9" borderId="215" xfId="0" applyFont="1" applyFill="1" applyBorder="1"/>
    <xf numFmtId="0" fontId="57" fillId="25" borderId="216" xfId="0" applyFont="1" applyFill="1" applyBorder="1"/>
    <xf numFmtId="0" fontId="97" fillId="25" borderId="216" xfId="0" applyFont="1" applyFill="1" applyBorder="1" applyAlignment="1">
      <alignment horizontal="center"/>
    </xf>
    <xf numFmtId="0" fontId="97" fillId="25" borderId="216" xfId="0" applyFont="1" applyFill="1" applyBorder="1" applyAlignment="1">
      <alignment horizontal="right"/>
    </xf>
    <xf numFmtId="0" fontId="97" fillId="25" borderId="216" xfId="0" applyFont="1" applyFill="1" applyBorder="1"/>
    <xf numFmtId="0" fontId="97" fillId="25" borderId="216" xfId="0" applyFont="1" applyFill="1" applyBorder="1" applyProtection="1"/>
    <xf numFmtId="0" fontId="97" fillId="25" borderId="216" xfId="0" quotePrefix="1" applyFont="1" applyFill="1" applyBorder="1" applyProtection="1"/>
    <xf numFmtId="0" fontId="97" fillId="25" borderId="217" xfId="0" quotePrefix="1" applyFont="1" applyFill="1" applyBorder="1" applyProtection="1"/>
    <xf numFmtId="1" fontId="63" fillId="5" borderId="198" xfId="0" applyNumberFormat="1" applyFont="1" applyFill="1" applyBorder="1" applyAlignment="1">
      <alignment horizontal="right"/>
    </xf>
    <xf numFmtId="1" fontId="63" fillId="5" borderId="199" xfId="0" applyNumberFormat="1" applyFont="1" applyFill="1" applyBorder="1" applyAlignment="1">
      <alignment horizontal="right"/>
    </xf>
    <xf numFmtId="1" fontId="63" fillId="5" borderId="200" xfId="0" applyNumberFormat="1" applyFont="1" applyFill="1" applyBorder="1" applyAlignment="1">
      <alignment horizontal="right"/>
    </xf>
    <xf numFmtId="1" fontId="63" fillId="5" borderId="201" xfId="0" applyNumberFormat="1" applyFont="1" applyFill="1" applyBorder="1" applyAlignment="1">
      <alignment horizontal="right"/>
    </xf>
    <xf numFmtId="0" fontId="64" fillId="2" borderId="0" xfId="0" applyFont="1" applyFill="1" applyAlignment="1">
      <alignment horizontal="center"/>
    </xf>
    <xf numFmtId="0" fontId="63" fillId="25" borderId="219" xfId="0" applyFont="1" applyFill="1" applyBorder="1" applyAlignment="1">
      <alignment horizontal="center"/>
    </xf>
    <xf numFmtId="0" fontId="63" fillId="25" borderId="219" xfId="0" applyFont="1" applyFill="1" applyBorder="1"/>
    <xf numFmtId="0" fontId="63" fillId="25" borderId="220" xfId="0" applyFont="1" applyFill="1" applyBorder="1" applyAlignment="1">
      <alignment horizontal="center"/>
    </xf>
    <xf numFmtId="0" fontId="63" fillId="5" borderId="221" xfId="0" applyFont="1" applyFill="1" applyBorder="1"/>
    <xf numFmtId="1" fontId="63" fillId="5" borderId="222" xfId="0" applyNumberFormat="1" applyFont="1" applyFill="1" applyBorder="1" applyAlignment="1">
      <alignment horizontal="right"/>
    </xf>
    <xf numFmtId="0" fontId="15" fillId="26" borderId="223" xfId="0" applyFont="1" applyFill="1" applyBorder="1" applyAlignment="1">
      <alignment horizontal="left" vertical="center"/>
    </xf>
    <xf numFmtId="0" fontId="15" fillId="26" borderId="224" xfId="0" applyFont="1" applyFill="1" applyBorder="1" applyAlignment="1">
      <alignment horizontal="left" vertical="center"/>
    </xf>
    <xf numFmtId="0" fontId="14" fillId="2" borderId="225" xfId="0" applyFont="1" applyFill="1" applyBorder="1" applyAlignment="1">
      <alignment horizontal="left" vertical="center" indent="1"/>
    </xf>
    <xf numFmtId="3" fontId="12" fillId="2" borderId="226" xfId="0" applyNumberFormat="1" applyFont="1" applyFill="1" applyBorder="1" applyAlignment="1"/>
    <xf numFmtId="0" fontId="14" fillId="2" borderId="227" xfId="0" applyFont="1" applyFill="1" applyBorder="1" applyAlignment="1">
      <alignment horizontal="left" vertical="center" indent="1"/>
    </xf>
    <xf numFmtId="0" fontId="16" fillId="2" borderId="228" xfId="0" applyFont="1" applyFill="1" applyBorder="1" applyAlignment="1">
      <alignment vertical="center"/>
    </xf>
    <xf numFmtId="3" fontId="16" fillId="2" borderId="229" xfId="0" applyNumberFormat="1" applyFont="1" applyFill="1" applyBorder="1" applyAlignment="1">
      <alignment vertical="center"/>
    </xf>
    <xf numFmtId="0" fontId="16" fillId="2" borderId="230" xfId="0" applyFont="1" applyFill="1" applyBorder="1" applyAlignment="1">
      <alignment vertical="center"/>
    </xf>
    <xf numFmtId="3" fontId="16" fillId="2" borderId="231" xfId="0" applyNumberFormat="1" applyFont="1" applyFill="1" applyBorder="1" applyAlignment="1">
      <alignment vertical="center"/>
    </xf>
    <xf numFmtId="0" fontId="16" fillId="4" borderId="232" xfId="0" applyFont="1" applyFill="1" applyBorder="1" applyAlignment="1">
      <alignment vertical="center"/>
    </xf>
    <xf numFmtId="3" fontId="16" fillId="4" borderId="233" xfId="0" applyNumberFormat="1" applyFont="1" applyFill="1" applyBorder="1" applyAlignment="1">
      <alignment vertical="center"/>
    </xf>
    <xf numFmtId="3" fontId="16" fillId="4" borderId="234" xfId="0" applyNumberFormat="1" applyFont="1" applyFill="1" applyBorder="1" applyAlignment="1">
      <alignment vertical="center"/>
    </xf>
    <xf numFmtId="0" fontId="56" fillId="25" borderId="218" xfId="0" applyFont="1" applyFill="1" applyBorder="1"/>
    <xf numFmtId="0" fontId="13" fillId="26" borderId="235" xfId="0" applyFont="1" applyFill="1" applyBorder="1" applyAlignment="1">
      <alignment horizontal="left" vertical="center"/>
    </xf>
    <xf numFmtId="0" fontId="13" fillId="26" borderId="236" xfId="0" applyFont="1" applyFill="1" applyBorder="1" applyAlignment="1">
      <alignment horizontal="center" vertical="center"/>
    </xf>
    <xf numFmtId="177" fontId="13" fillId="26" borderId="236" xfId="0" applyNumberFormat="1" applyFont="1" applyFill="1" applyBorder="1" applyAlignment="1">
      <alignment horizontal="center" vertical="center"/>
    </xf>
    <xf numFmtId="177" fontId="13" fillId="26" borderId="236" xfId="0" applyNumberFormat="1" applyFont="1" applyFill="1" applyBorder="1" applyAlignment="1">
      <alignment horizontal="right" vertical="center"/>
    </xf>
    <xf numFmtId="0" fontId="13" fillId="26" borderId="236" xfId="0" applyFont="1" applyFill="1" applyBorder="1" applyAlignment="1">
      <alignment horizontal="right" vertical="center"/>
    </xf>
    <xf numFmtId="177" fontId="13" fillId="26" borderId="238" xfId="0" applyNumberFormat="1" applyFont="1" applyFill="1" applyBorder="1" applyAlignment="1">
      <alignment horizontal="right" vertical="center"/>
    </xf>
    <xf numFmtId="0" fontId="14" fillId="2" borderId="239" xfId="0" applyFont="1" applyFill="1" applyBorder="1" applyAlignment="1">
      <alignment horizontal="left" vertical="center" indent="1"/>
    </xf>
    <xf numFmtId="3" fontId="12" fillId="2" borderId="240" xfId="0" applyNumberFormat="1" applyFont="1" applyFill="1" applyBorder="1" applyAlignment="1">
      <alignment horizontal="right"/>
    </xf>
    <xf numFmtId="0" fontId="14" fillId="2" borderId="241" xfId="0" applyFont="1" applyFill="1" applyBorder="1" applyAlignment="1">
      <alignment horizontal="left" vertical="center" indent="1"/>
    </xf>
    <xf numFmtId="0" fontId="16" fillId="2" borderId="242" xfId="0" applyFont="1" applyFill="1" applyBorder="1" applyAlignment="1">
      <alignment vertical="center"/>
    </xf>
    <xf numFmtId="3" fontId="15" fillId="2" borderId="243" xfId="0" applyNumberFormat="1" applyFont="1" applyFill="1" applyBorder="1" applyAlignment="1">
      <alignment horizontal="right"/>
    </xf>
    <xf numFmtId="0" fontId="16" fillId="2" borderId="244" xfId="0" applyFont="1" applyFill="1" applyBorder="1" applyAlignment="1">
      <alignment vertical="center"/>
    </xf>
    <xf numFmtId="0" fontId="16" fillId="4" borderId="245" xfId="0" applyFont="1" applyFill="1" applyBorder="1" applyAlignment="1">
      <alignment vertical="center"/>
    </xf>
    <xf numFmtId="3" fontId="15" fillId="4" borderId="246" xfId="0" applyNumberFormat="1" applyFont="1" applyFill="1" applyBorder="1" applyAlignment="1">
      <alignment horizontal="right"/>
    </xf>
    <xf numFmtId="0" fontId="16" fillId="4" borderId="247" xfId="0" applyFont="1" applyFill="1" applyBorder="1" applyAlignment="1">
      <alignment vertical="center"/>
    </xf>
    <xf numFmtId="3" fontId="15" fillId="4" borderId="248" xfId="0" applyNumberFormat="1" applyFont="1" applyFill="1" applyBorder="1" applyAlignment="1">
      <alignment horizontal="center"/>
    </xf>
    <xf numFmtId="3" fontId="15" fillId="6" borderId="249" xfId="0" applyNumberFormat="1" applyFont="1" applyFill="1" applyBorder="1" applyAlignment="1">
      <alignment horizontal="center"/>
    </xf>
    <xf numFmtId="3" fontId="15" fillId="4" borderId="248" xfId="0" applyNumberFormat="1" applyFont="1" applyFill="1" applyBorder="1" applyAlignment="1">
      <alignment horizontal="right"/>
    </xf>
    <xf numFmtId="3" fontId="15" fillId="4" borderId="250" xfId="0" applyNumberFormat="1" applyFont="1" applyFill="1" applyBorder="1" applyAlignment="1">
      <alignment horizontal="right"/>
    </xf>
    <xf numFmtId="0" fontId="17" fillId="25" borderId="189" xfId="0" applyFont="1" applyFill="1" applyBorder="1" applyAlignment="1">
      <alignment horizontal="left" vertical="center"/>
    </xf>
    <xf numFmtId="1" fontId="17" fillId="25" borderId="160" xfId="0" applyNumberFormat="1" applyFont="1" applyFill="1" applyBorder="1" applyAlignment="1">
      <alignment horizontal="center" vertical="center"/>
    </xf>
    <xf numFmtId="176" fontId="17" fillId="25" borderId="160" xfId="0" applyNumberFormat="1" applyFont="1" applyFill="1" applyBorder="1" applyAlignment="1">
      <alignment horizontal="center" vertical="center"/>
    </xf>
    <xf numFmtId="1" fontId="17" fillId="25" borderId="160" xfId="0" applyNumberFormat="1" applyFont="1" applyFill="1" applyBorder="1" applyAlignment="1">
      <alignment horizontal="right" vertical="center"/>
    </xf>
    <xf numFmtId="1" fontId="17" fillId="25" borderId="192" xfId="0" applyNumberFormat="1" applyFont="1" applyFill="1" applyBorder="1" applyAlignment="1">
      <alignment horizontal="right" vertical="center"/>
    </xf>
    <xf numFmtId="3" fontId="13" fillId="6" borderId="237" xfId="0" applyNumberFormat="1" applyFont="1" applyFill="1" applyBorder="1" applyAlignment="1">
      <alignment horizontal="center" vertical="center"/>
    </xf>
    <xf numFmtId="3" fontId="12" fillId="6" borderId="181" xfId="0" applyNumberFormat="1" applyFont="1" applyFill="1" applyBorder="1" applyAlignment="1">
      <alignment horizontal="center"/>
    </xf>
    <xf numFmtId="0" fontId="7" fillId="2" borderId="254" xfId="0" applyFont="1" applyFill="1" applyBorder="1" applyAlignment="1">
      <alignment horizontal="right"/>
    </xf>
    <xf numFmtId="0" fontId="7" fillId="2" borderId="255" xfId="0" applyFont="1" applyFill="1" applyBorder="1" applyAlignment="1">
      <alignment horizontal="right"/>
    </xf>
    <xf numFmtId="0" fontId="8" fillId="2" borderId="0" xfId="0" applyFont="1" applyFill="1" applyBorder="1" applyAlignment="1">
      <alignment horizontal="right"/>
    </xf>
    <xf numFmtId="0" fontId="8" fillId="2" borderId="255" xfId="0" applyFont="1" applyFill="1" applyBorder="1" applyAlignment="1">
      <alignment horizontal="right"/>
    </xf>
    <xf numFmtId="0" fontId="7" fillId="2" borderId="154" xfId="0" applyFont="1" applyFill="1" applyBorder="1" applyAlignment="1">
      <alignment horizontal="right"/>
    </xf>
    <xf numFmtId="0" fontId="7" fillId="2" borderId="153" xfId="0" applyFont="1" applyFill="1" applyBorder="1" applyAlignment="1">
      <alignment horizontal="right"/>
    </xf>
    <xf numFmtId="0" fontId="7" fillId="2" borderId="155" xfId="0" applyFont="1" applyFill="1" applyBorder="1" applyAlignment="1">
      <alignment horizontal="right"/>
    </xf>
    <xf numFmtId="0" fontId="8" fillId="4" borderId="150" xfId="0" applyFont="1" applyFill="1" applyBorder="1" applyAlignment="1">
      <alignment horizontal="left"/>
    </xf>
    <xf numFmtId="0" fontId="7" fillId="4" borderId="151" xfId="0" applyFont="1" applyFill="1" applyBorder="1" applyAlignment="1">
      <alignment horizontal="right"/>
    </xf>
    <xf numFmtId="0" fontId="7" fillId="4" borderId="152" xfId="0" applyFont="1" applyFill="1" applyBorder="1" applyAlignment="1">
      <alignment horizontal="right"/>
    </xf>
    <xf numFmtId="0" fontId="17" fillId="11" borderId="156" xfId="0" applyFont="1" applyFill="1" applyBorder="1"/>
    <xf numFmtId="0" fontId="14" fillId="2" borderId="118" xfId="0" applyFont="1" applyFill="1" applyBorder="1"/>
    <xf numFmtId="169" fontId="7" fillId="7" borderId="118" xfId="1" applyNumberFormat="1" applyFont="1" applyFill="1" applyBorder="1" applyAlignment="1">
      <alignment horizontal="right"/>
    </xf>
    <xf numFmtId="169" fontId="7" fillId="2" borderId="118" xfId="1" applyNumberFormat="1" applyFont="1" applyFill="1" applyBorder="1" applyAlignment="1">
      <alignment horizontal="right"/>
    </xf>
    <xf numFmtId="0" fontId="14" fillId="2" borderId="186" xfId="0" applyFont="1" applyFill="1" applyBorder="1"/>
    <xf numFmtId="169" fontId="7" fillId="2" borderId="186" xfId="1" applyNumberFormat="1" applyFont="1" applyFill="1" applyBorder="1" applyAlignment="1">
      <alignment horizontal="right"/>
    </xf>
    <xf numFmtId="4" fontId="7" fillId="7" borderId="186" xfId="0" applyNumberFormat="1" applyFont="1" applyFill="1" applyBorder="1" applyAlignment="1">
      <alignment horizontal="right"/>
    </xf>
    <xf numFmtId="4" fontId="7" fillId="2" borderId="186" xfId="0" applyNumberFormat="1" applyFont="1" applyFill="1" applyBorder="1" applyAlignment="1">
      <alignment horizontal="right"/>
    </xf>
    <xf numFmtId="10" fontId="7" fillId="2" borderId="186" xfId="0" applyNumberFormat="1" applyFont="1" applyFill="1" applyBorder="1"/>
    <xf numFmtId="10" fontId="7" fillId="2" borderId="186" xfId="0" applyNumberFormat="1" applyFont="1" applyFill="1" applyBorder="1" applyAlignment="1">
      <alignment horizontal="right"/>
    </xf>
    <xf numFmtId="10" fontId="7" fillId="7" borderId="186" xfId="0" applyNumberFormat="1" applyFont="1" applyFill="1" applyBorder="1"/>
    <xf numFmtId="0" fontId="14" fillId="2" borderId="252" xfId="0" applyFont="1" applyFill="1" applyBorder="1"/>
    <xf numFmtId="10" fontId="7" fillId="2" borderId="252" xfId="0" applyNumberFormat="1" applyFont="1" applyFill="1" applyBorder="1"/>
    <xf numFmtId="10" fontId="7" fillId="2" borderId="252" xfId="0" applyNumberFormat="1" applyFont="1" applyFill="1" applyBorder="1" applyAlignment="1">
      <alignment horizontal="right"/>
    </xf>
    <xf numFmtId="0" fontId="14" fillId="2" borderId="153" xfId="0" applyFont="1" applyFill="1" applyBorder="1"/>
    <xf numFmtId="10" fontId="7" fillId="2" borderId="153" xfId="0" applyNumberFormat="1" applyFont="1" applyFill="1" applyBorder="1"/>
    <xf numFmtId="0" fontId="16" fillId="4" borderId="256" xfId="0" applyFont="1" applyFill="1" applyBorder="1"/>
    <xf numFmtId="0" fontId="8" fillId="7" borderId="0" xfId="0" applyFont="1" applyFill="1" applyBorder="1" applyAlignment="1">
      <alignment horizontal="right"/>
    </xf>
    <xf numFmtId="0" fontId="8" fillId="7" borderId="5" xfId="0" applyFont="1" applyFill="1" applyBorder="1" applyAlignment="1">
      <alignment horizontal="right"/>
    </xf>
    <xf numFmtId="0" fontId="17" fillId="9" borderId="30" xfId="0" applyFont="1" applyFill="1" applyBorder="1" applyAlignment="1">
      <alignment horizontal="right"/>
    </xf>
    <xf numFmtId="0" fontId="17" fillId="9" borderId="30" xfId="0" applyFont="1" applyFill="1" applyBorder="1"/>
    <xf numFmtId="3" fontId="9" fillId="9" borderId="30" xfId="0" applyNumberFormat="1" applyFont="1" applyFill="1" applyBorder="1" applyAlignment="1">
      <alignment horizontal="center"/>
    </xf>
    <xf numFmtId="169" fontId="9" fillId="9" borderId="30" xfId="1" applyNumberFormat="1" applyFont="1" applyFill="1" applyBorder="1" applyAlignment="1">
      <alignment horizontal="right"/>
    </xf>
    <xf numFmtId="0" fontId="16" fillId="4" borderId="151" xfId="0" applyFont="1" applyFill="1" applyBorder="1"/>
    <xf numFmtId="10" fontId="8" fillId="4" borderId="151" xfId="1" applyNumberFormat="1" applyFont="1" applyFill="1" applyBorder="1"/>
    <xf numFmtId="171" fontId="8" fillId="4" borderId="151" xfId="0" applyNumberFormat="1" applyFont="1" applyFill="1" applyBorder="1"/>
    <xf numFmtId="0" fontId="16" fillId="2" borderId="169" xfId="0" applyFont="1" applyFill="1" applyBorder="1"/>
    <xf numFmtId="0" fontId="9" fillId="18" borderId="156" xfId="0" applyFont="1" applyFill="1" applyBorder="1" applyAlignment="1">
      <alignment horizontal="right"/>
    </xf>
    <xf numFmtId="0" fontId="25" fillId="11" borderId="32" xfId="0" applyFont="1" applyFill="1" applyBorder="1" applyAlignment="1">
      <alignment horizontal="left"/>
    </xf>
    <xf numFmtId="0" fontId="8" fillId="4" borderId="151" xfId="0" applyFont="1" applyFill="1" applyBorder="1" applyAlignment="1">
      <alignment horizontal="center"/>
    </xf>
    <xf numFmtId="1" fontId="8" fillId="4" borderId="151" xfId="0" applyNumberFormat="1" applyFont="1" applyFill="1" applyBorder="1" applyAlignment="1">
      <alignment horizontal="right"/>
    </xf>
    <xf numFmtId="3" fontId="8" fillId="4" borderId="151" xfId="0" applyNumberFormat="1" applyFont="1" applyFill="1" applyBorder="1" applyAlignment="1">
      <alignment horizontal="right"/>
    </xf>
    <xf numFmtId="0" fontId="8" fillId="4" borderId="186" xfId="0" applyFont="1" applyFill="1" applyBorder="1"/>
    <xf numFmtId="0" fontId="8" fillId="4" borderId="186" xfId="0" applyFont="1" applyFill="1" applyBorder="1" applyAlignment="1">
      <alignment horizontal="center"/>
    </xf>
    <xf numFmtId="0" fontId="8" fillId="4" borderId="186" xfId="0" applyFont="1" applyFill="1" applyBorder="1" applyAlignment="1">
      <alignment horizontal="right"/>
    </xf>
    <xf numFmtId="0" fontId="7" fillId="2" borderId="118" xfId="0" quotePrefix="1" applyFont="1" applyFill="1" applyBorder="1" applyAlignment="1">
      <alignment horizontal="center"/>
    </xf>
    <xf numFmtId="0" fontId="7" fillId="4" borderId="186" xfId="0" applyFont="1" applyFill="1" applyBorder="1" applyAlignment="1">
      <alignment horizontal="right"/>
    </xf>
    <xf numFmtId="0" fontId="8" fillId="4" borderId="150" xfId="0" applyFont="1" applyFill="1" applyBorder="1"/>
    <xf numFmtId="0" fontId="7" fillId="2" borderId="254" xfId="0" applyFont="1" applyFill="1" applyBorder="1"/>
    <xf numFmtId="0" fontId="8" fillId="2" borderId="254" xfId="0" applyFont="1" applyFill="1" applyBorder="1"/>
    <xf numFmtId="0" fontId="7" fillId="2" borderId="254" xfId="0" quotePrefix="1" applyFont="1" applyFill="1" applyBorder="1"/>
    <xf numFmtId="0" fontId="8" fillId="2" borderId="254" xfId="0" quotePrefix="1" applyFont="1" applyFill="1" applyBorder="1"/>
    <xf numFmtId="0" fontId="8" fillId="4" borderId="257" xfId="0" applyFont="1" applyFill="1" applyBorder="1"/>
    <xf numFmtId="0" fontId="7" fillId="2" borderId="258" xfId="0" quotePrefix="1" applyFont="1" applyFill="1" applyBorder="1"/>
    <xf numFmtId="1" fontId="8" fillId="4" borderId="152" xfId="0" applyNumberFormat="1" applyFont="1" applyFill="1" applyBorder="1" applyAlignment="1">
      <alignment horizontal="right"/>
    </xf>
    <xf numFmtId="3" fontId="8" fillId="2" borderId="255" xfId="0" applyNumberFormat="1" applyFont="1" applyFill="1" applyBorder="1" applyAlignment="1">
      <alignment horizontal="right"/>
    </xf>
    <xf numFmtId="3" fontId="7" fillId="2" borderId="255" xfId="0" applyNumberFormat="1" applyFont="1" applyFill="1" applyBorder="1" applyAlignment="1">
      <alignment horizontal="right"/>
    </xf>
    <xf numFmtId="3" fontId="8" fillId="4" borderId="152" xfId="0" applyNumberFormat="1" applyFont="1" applyFill="1" applyBorder="1" applyAlignment="1">
      <alignment horizontal="right"/>
    </xf>
    <xf numFmtId="0" fontId="8" fillId="2" borderId="0" xfId="0" applyFont="1" applyFill="1" applyBorder="1" applyAlignment="1">
      <alignment horizontal="center"/>
    </xf>
    <xf numFmtId="0" fontId="7" fillId="2" borderId="0" xfId="0" quotePrefix="1" applyFont="1" applyFill="1" applyBorder="1" applyAlignment="1">
      <alignment horizontal="center"/>
    </xf>
    <xf numFmtId="0" fontId="43" fillId="2" borderId="0" xfId="0" applyFont="1" applyFill="1" applyBorder="1" applyAlignment="1">
      <alignment horizontal="left"/>
    </xf>
    <xf numFmtId="0" fontId="8" fillId="4" borderId="259" xfId="0" applyFont="1" applyFill="1" applyBorder="1" applyAlignment="1">
      <alignment horizontal="right"/>
    </xf>
    <xf numFmtId="0" fontId="8" fillId="4" borderId="262" xfId="0" applyFont="1" applyFill="1" applyBorder="1" applyAlignment="1">
      <alignment horizontal="right"/>
    </xf>
    <xf numFmtId="169" fontId="7" fillId="2" borderId="263" xfId="1" applyNumberFormat="1" applyFont="1" applyFill="1" applyBorder="1" applyAlignment="1">
      <alignment horizontal="right"/>
    </xf>
    <xf numFmtId="169" fontId="7" fillId="2" borderId="264" xfId="1" applyNumberFormat="1" applyFont="1" applyFill="1" applyBorder="1" applyAlignment="1">
      <alignment horizontal="right"/>
    </xf>
    <xf numFmtId="3" fontId="7" fillId="2" borderId="260" xfId="0" applyNumberFormat="1" applyFont="1" applyFill="1" applyBorder="1" applyAlignment="1">
      <alignment horizontal="right"/>
    </xf>
    <xf numFmtId="3" fontId="7" fillId="2" borderId="261" xfId="0" applyNumberFormat="1" applyFont="1" applyFill="1" applyBorder="1" applyAlignment="1">
      <alignment horizontal="right"/>
    </xf>
    <xf numFmtId="3" fontId="8" fillId="2" borderId="260" xfId="0" applyNumberFormat="1" applyFont="1" applyFill="1" applyBorder="1" applyAlignment="1">
      <alignment horizontal="right"/>
    </xf>
    <xf numFmtId="3" fontId="8" fillId="4" borderId="259" xfId="0" applyNumberFormat="1" applyFont="1" applyFill="1" applyBorder="1" applyAlignment="1">
      <alignment horizontal="right"/>
    </xf>
    <xf numFmtId="0" fontId="7" fillId="2" borderId="260" xfId="0" applyFont="1" applyFill="1" applyBorder="1" applyAlignment="1">
      <alignment horizontal="right"/>
    </xf>
    <xf numFmtId="168" fontId="8" fillId="4" borderId="259" xfId="0" applyNumberFormat="1" applyFont="1" applyFill="1" applyBorder="1" applyAlignment="1">
      <alignment horizontal="right"/>
    </xf>
    <xf numFmtId="0" fontId="7" fillId="4" borderId="151" xfId="0" applyFont="1" applyFill="1" applyBorder="1" applyAlignment="1">
      <alignment horizontal="center"/>
    </xf>
    <xf numFmtId="169" fontId="8" fillId="4" borderId="265" xfId="1" applyNumberFormat="1" applyFont="1" applyFill="1" applyBorder="1" applyAlignment="1">
      <alignment horizontal="right"/>
    </xf>
    <xf numFmtId="0" fontId="8" fillId="4" borderId="3" xfId="0" applyFont="1" applyFill="1" applyBorder="1" applyAlignment="1">
      <alignment horizontal="left"/>
    </xf>
    <xf numFmtId="0" fontId="8" fillId="2" borderId="254" xfId="0" applyFont="1" applyFill="1" applyBorder="1" applyAlignment="1">
      <alignment horizontal="left"/>
    </xf>
    <xf numFmtId="0" fontId="100" fillId="2" borderId="154" xfId="0" applyFont="1" applyFill="1" applyBorder="1"/>
    <xf numFmtId="0" fontId="101" fillId="2" borderId="153" xfId="0" applyFont="1" applyFill="1" applyBorder="1" applyAlignment="1">
      <alignment horizontal="center"/>
    </xf>
    <xf numFmtId="0" fontId="102" fillId="2" borderId="153" xfId="0" applyFont="1" applyFill="1" applyBorder="1" applyAlignment="1">
      <alignment horizontal="right"/>
    </xf>
    <xf numFmtId="0" fontId="102" fillId="2" borderId="155" xfId="0" applyFont="1" applyFill="1" applyBorder="1" applyAlignment="1">
      <alignment horizontal="right"/>
    </xf>
    <xf numFmtId="0" fontId="102" fillId="2" borderId="0" xfId="0" applyFont="1" applyFill="1"/>
    <xf numFmtId="0" fontId="100" fillId="2" borderId="0" xfId="0" applyFont="1" applyFill="1"/>
    <xf numFmtId="0" fontId="8" fillId="4" borderId="130" xfId="0" applyFont="1" applyFill="1" applyBorder="1" applyAlignment="1">
      <alignment horizontal="center"/>
    </xf>
    <xf numFmtId="0" fontId="7" fillId="2" borderId="194" xfId="0" applyFont="1" applyFill="1" applyBorder="1" applyAlignment="1">
      <alignment horizontal="center"/>
    </xf>
    <xf numFmtId="3" fontId="8" fillId="2" borderId="194" xfId="0" applyNumberFormat="1" applyFont="1" applyFill="1" applyBorder="1" applyAlignment="1">
      <alignment horizontal="right"/>
    </xf>
    <xf numFmtId="3" fontId="7" fillId="2" borderId="194" xfId="0" applyNumberFormat="1" applyFont="1" applyFill="1" applyBorder="1" applyAlignment="1">
      <alignment horizontal="right"/>
    </xf>
    <xf numFmtId="3" fontId="8" fillId="4" borderId="130" xfId="0" applyNumberFormat="1" applyFont="1" applyFill="1" applyBorder="1" applyAlignment="1">
      <alignment horizontal="right"/>
    </xf>
    <xf numFmtId="10" fontId="7" fillId="2" borderId="153" xfId="0" applyNumberFormat="1" applyFont="1" applyFill="1" applyBorder="1" applyAlignment="1">
      <alignment horizontal="right"/>
    </xf>
    <xf numFmtId="10" fontId="8" fillId="4" borderId="151" xfId="1" applyNumberFormat="1" applyFont="1" applyFill="1" applyBorder="1" applyAlignment="1">
      <alignment horizontal="right"/>
    </xf>
    <xf numFmtId="171" fontId="8" fillId="4" borderId="151" xfId="0" applyNumberFormat="1" applyFont="1" applyFill="1" applyBorder="1" applyAlignment="1">
      <alignment horizontal="right"/>
    </xf>
    <xf numFmtId="169" fontId="7" fillId="7" borderId="0" xfId="1" applyNumberFormat="1" applyFont="1" applyFill="1" applyBorder="1" applyAlignment="1">
      <alignment horizontal="right"/>
    </xf>
    <xf numFmtId="10" fontId="7" fillId="7" borderId="0" xfId="0" applyNumberFormat="1" applyFont="1" applyFill="1" applyBorder="1" applyAlignment="1">
      <alignment horizontal="right"/>
    </xf>
    <xf numFmtId="4" fontId="7" fillId="7" borderId="0" xfId="0" applyNumberFormat="1" applyFont="1" applyFill="1" applyBorder="1" applyAlignment="1">
      <alignment horizontal="right"/>
    </xf>
    <xf numFmtId="167" fontId="7" fillId="2" borderId="0" xfId="0" applyNumberFormat="1" applyFont="1" applyFill="1" applyBorder="1" applyAlignment="1">
      <alignment horizontal="right"/>
    </xf>
    <xf numFmtId="0" fontId="57" fillId="25" borderId="267" xfId="0" applyFont="1" applyFill="1" applyBorder="1"/>
    <xf numFmtId="0" fontId="57" fillId="25" borderId="268" xfId="0" applyFont="1" applyFill="1" applyBorder="1" applyAlignment="1">
      <alignment horizontal="center"/>
    </xf>
    <xf numFmtId="0" fontId="59" fillId="25" borderId="268" xfId="0" applyFont="1" applyFill="1" applyBorder="1" applyAlignment="1">
      <alignment horizontal="right"/>
    </xf>
    <xf numFmtId="3" fontId="60" fillId="25" borderId="268" xfId="0" applyNumberFormat="1" applyFont="1" applyFill="1" applyBorder="1" applyAlignment="1">
      <alignment horizontal="right"/>
    </xf>
    <xf numFmtId="3" fontId="60" fillId="25" borderId="269" xfId="0" applyNumberFormat="1" applyFont="1" applyFill="1" applyBorder="1" applyAlignment="1">
      <alignment horizontal="right"/>
    </xf>
    <xf numFmtId="0" fontId="103" fillId="2" borderId="150" xfId="0" applyFont="1" applyFill="1" applyBorder="1"/>
    <xf numFmtId="0" fontId="103" fillId="2" borderId="130" xfId="0" applyFont="1" applyFill="1" applyBorder="1" applyAlignment="1">
      <alignment horizontal="center"/>
    </xf>
    <xf numFmtId="169" fontId="103" fillId="2" borderId="151" xfId="1" applyNumberFormat="1" applyFont="1" applyFill="1" applyBorder="1" applyAlignment="1">
      <alignment horizontal="right"/>
    </xf>
    <xf numFmtId="169" fontId="103" fillId="2" borderId="152" xfId="1" applyNumberFormat="1" applyFont="1" applyFill="1" applyBorder="1" applyAlignment="1">
      <alignment horizontal="right"/>
    </xf>
    <xf numFmtId="0" fontId="104" fillId="2" borderId="0" xfId="0" applyFont="1" applyFill="1"/>
    <xf numFmtId="0" fontId="35" fillId="4" borderId="161" xfId="0" applyFont="1" applyFill="1" applyBorder="1"/>
    <xf numFmtId="20" fontId="35" fillId="4" borderId="163" xfId="0" applyNumberFormat="1" applyFont="1" applyFill="1" applyBorder="1" applyAlignment="1">
      <alignment horizontal="right"/>
    </xf>
    <xf numFmtId="0" fontId="35" fillId="4" borderId="270" xfId="0" applyFont="1" applyFill="1" applyBorder="1"/>
    <xf numFmtId="20" fontId="35" fillId="4" borderId="271" xfId="0" applyNumberFormat="1" applyFont="1" applyFill="1" applyBorder="1" applyAlignment="1">
      <alignment horizontal="right"/>
    </xf>
    <xf numFmtId="0" fontId="33" fillId="2" borderId="0" xfId="0" applyFont="1" applyFill="1"/>
    <xf numFmtId="0" fontId="12" fillId="2" borderId="251" xfId="0" applyFont="1" applyFill="1" applyBorder="1" applyAlignment="1">
      <alignment vertical="center"/>
    </xf>
    <xf numFmtId="0" fontId="12" fillId="2" borderId="252" xfId="0" applyFont="1" applyFill="1" applyBorder="1" applyAlignment="1">
      <alignment vertical="center"/>
    </xf>
    <xf numFmtId="0" fontId="15" fillId="2" borderId="252" xfId="0" applyFont="1" applyFill="1" applyBorder="1" applyAlignment="1">
      <alignment vertical="center"/>
    </xf>
    <xf numFmtId="180" fontId="12" fillId="6" borderId="253" xfId="0" applyNumberFormat="1" applyFont="1" applyFill="1" applyBorder="1" applyAlignment="1">
      <alignment vertical="center"/>
    </xf>
    <xf numFmtId="0" fontId="12" fillId="2" borderId="154" xfId="0" applyFont="1" applyFill="1" applyBorder="1" applyAlignment="1">
      <alignment vertical="center"/>
    </xf>
    <xf numFmtId="0" fontId="12" fillId="2" borderId="153" xfId="0" applyFont="1" applyFill="1" applyBorder="1" applyAlignment="1">
      <alignment vertical="center"/>
    </xf>
    <xf numFmtId="0" fontId="15" fillId="2" borderId="153" xfId="0" applyFont="1" applyFill="1" applyBorder="1" applyAlignment="1">
      <alignment vertical="center"/>
    </xf>
    <xf numFmtId="181" fontId="12" fillId="6" borderId="155" xfId="0" applyNumberFormat="1" applyFont="1" applyFill="1" applyBorder="1" applyAlignment="1">
      <alignment horizontal="right" vertical="center"/>
    </xf>
    <xf numFmtId="3" fontId="12" fillId="2" borderId="0" xfId="0" applyNumberFormat="1" applyFont="1" applyFill="1" applyBorder="1" applyAlignment="1">
      <alignment horizontal="center" vertical="center"/>
    </xf>
    <xf numFmtId="3" fontId="12" fillId="2" borderId="0" xfId="0" applyNumberFormat="1" applyFont="1" applyFill="1" applyBorder="1" applyAlignment="1">
      <alignment vertical="center"/>
    </xf>
    <xf numFmtId="3" fontId="12" fillId="2" borderId="84" xfId="0" applyNumberFormat="1" applyFont="1" applyFill="1" applyBorder="1" applyAlignment="1">
      <alignment vertical="center"/>
    </xf>
    <xf numFmtId="3" fontId="15" fillId="2" borderId="0" xfId="0" applyNumberFormat="1" applyFont="1" applyFill="1" applyBorder="1" applyAlignment="1">
      <alignment vertical="center"/>
    </xf>
    <xf numFmtId="0" fontId="12" fillId="2" borderId="254" xfId="0" applyFont="1" applyFill="1" applyBorder="1" applyAlignment="1">
      <alignment vertical="center"/>
    </xf>
    <xf numFmtId="0" fontId="12" fillId="2" borderId="150" xfId="0" applyFont="1" applyFill="1" applyBorder="1" applyAlignment="1">
      <alignment vertical="center"/>
    </xf>
    <xf numFmtId="0" fontId="15" fillId="2" borderId="151" xfId="0" applyFont="1" applyFill="1" applyBorder="1" applyAlignment="1">
      <alignment horizontal="center" vertical="center"/>
    </xf>
    <xf numFmtId="0" fontId="12" fillId="2" borderId="151" xfId="0" applyFont="1" applyFill="1" applyBorder="1" applyAlignment="1">
      <alignment vertical="center"/>
    </xf>
    <xf numFmtId="1" fontId="15" fillId="2" borderId="254" xfId="0" applyNumberFormat="1" applyFont="1" applyFill="1" applyBorder="1" applyAlignment="1">
      <alignment horizontal="left" vertical="center"/>
    </xf>
    <xf numFmtId="3" fontId="12" fillId="6" borderId="0" xfId="0" applyNumberFormat="1" applyFont="1" applyFill="1" applyBorder="1" applyAlignment="1">
      <alignment vertical="center"/>
    </xf>
    <xf numFmtId="3" fontId="12" fillId="2" borderId="0" xfId="0" applyNumberFormat="1" applyFont="1" applyFill="1" applyBorder="1" applyAlignment="1">
      <alignment horizontal="right" vertical="center"/>
    </xf>
    <xf numFmtId="0" fontId="12" fillId="2" borderId="272" xfId="0" applyFont="1" applyFill="1" applyBorder="1" applyAlignment="1">
      <alignment vertical="center"/>
    </xf>
    <xf numFmtId="49" fontId="15" fillId="2" borderId="151" xfId="0" applyNumberFormat="1" applyFont="1" applyFill="1" applyBorder="1" applyAlignment="1">
      <alignment horizontal="right" vertical="center"/>
    </xf>
    <xf numFmtId="49" fontId="15" fillId="2" borderId="152" xfId="0" applyNumberFormat="1" applyFont="1" applyFill="1" applyBorder="1" applyAlignment="1">
      <alignment horizontal="right" vertical="center"/>
    </xf>
    <xf numFmtId="3" fontId="12" fillId="2" borderId="255" xfId="0" applyNumberFormat="1" applyFont="1" applyFill="1" applyBorder="1" applyAlignment="1">
      <alignment horizontal="right" vertical="center"/>
    </xf>
    <xf numFmtId="3" fontId="12" fillId="2" borderId="84" xfId="0" applyNumberFormat="1" applyFont="1" applyFill="1" applyBorder="1" applyAlignment="1">
      <alignment horizontal="right" vertical="center"/>
    </xf>
    <xf numFmtId="3" fontId="12" fillId="2" borderId="273" xfId="0" applyNumberFormat="1" applyFont="1" applyFill="1" applyBorder="1" applyAlignment="1">
      <alignment horizontal="right" vertical="center"/>
    </xf>
    <xf numFmtId="3" fontId="12" fillId="2" borderId="255" xfId="0" applyNumberFormat="1" applyFont="1" applyFill="1" applyBorder="1" applyAlignment="1">
      <alignment horizontal="right"/>
    </xf>
    <xf numFmtId="0" fontId="15" fillId="2" borderId="274" xfId="0" applyFont="1" applyFill="1" applyBorder="1" applyAlignment="1">
      <alignment vertical="center"/>
    </xf>
    <xf numFmtId="3" fontId="15" fillId="2" borderId="275" xfId="0" applyNumberFormat="1" applyFont="1" applyFill="1" applyBorder="1" applyAlignment="1">
      <alignment vertical="center"/>
    </xf>
    <xf numFmtId="3" fontId="15" fillId="2" borderId="275" xfId="0" applyNumberFormat="1" applyFont="1" applyFill="1" applyBorder="1" applyAlignment="1">
      <alignment horizontal="right" vertical="center"/>
    </xf>
    <xf numFmtId="3" fontId="15" fillId="2" borderId="276" xfId="0" applyNumberFormat="1" applyFont="1" applyFill="1" applyBorder="1" applyAlignment="1">
      <alignment horizontal="right" vertical="center"/>
    </xf>
    <xf numFmtId="0" fontId="12" fillId="2" borderId="252" xfId="0" applyFont="1" applyFill="1" applyBorder="1"/>
    <xf numFmtId="0" fontId="12" fillId="2" borderId="253" xfId="0" applyFont="1" applyFill="1" applyBorder="1"/>
    <xf numFmtId="0" fontId="12" fillId="2" borderId="155" xfId="0" applyFont="1" applyFill="1" applyBorder="1"/>
    <xf numFmtId="1" fontId="17" fillId="25" borderId="158" xfId="0" applyNumberFormat="1" applyFont="1" applyFill="1" applyBorder="1" applyAlignment="1">
      <alignment horizontal="center" vertical="center"/>
    </xf>
    <xf numFmtId="3" fontId="12" fillId="7" borderId="0" xfId="0" applyNumberFormat="1" applyFont="1" applyFill="1" applyBorder="1" applyAlignment="1">
      <alignment horizontal="right" vertical="center"/>
    </xf>
    <xf numFmtId="3" fontId="12" fillId="7" borderId="255" xfId="0" applyNumberFormat="1" applyFont="1" applyFill="1" applyBorder="1" applyAlignment="1">
      <alignment horizontal="right" vertical="center"/>
    </xf>
    <xf numFmtId="0" fontId="7" fillId="2" borderId="57" xfId="0" applyFont="1" applyFill="1" applyBorder="1"/>
    <xf numFmtId="3" fontId="7" fillId="2" borderId="8" xfId="0" applyNumberFormat="1" applyFont="1" applyFill="1" applyBorder="1" applyAlignment="1">
      <alignment horizontal="right"/>
    </xf>
    <xf numFmtId="0" fontId="7" fillId="2" borderId="49" xfId="0" applyFont="1" applyFill="1" applyBorder="1"/>
    <xf numFmtId="3" fontId="7" fillId="2" borderId="35" xfId="0" applyNumberFormat="1" applyFont="1" applyFill="1" applyBorder="1" applyAlignment="1">
      <alignment horizontal="right"/>
    </xf>
    <xf numFmtId="0" fontId="7" fillId="2" borderId="36" xfId="0" applyFont="1" applyFill="1" applyBorder="1"/>
    <xf numFmtId="0" fontId="65" fillId="9" borderId="177" xfId="0" applyFont="1" applyFill="1" applyBorder="1"/>
    <xf numFmtId="0" fontId="57" fillId="25" borderId="177" xfId="0" applyFont="1" applyFill="1" applyBorder="1"/>
    <xf numFmtId="0" fontId="97" fillId="25" borderId="177" xfId="0" applyFont="1" applyFill="1" applyBorder="1" applyAlignment="1">
      <alignment horizontal="right"/>
    </xf>
    <xf numFmtId="0" fontId="97" fillId="25" borderId="177" xfId="0" applyFont="1" applyFill="1" applyBorder="1"/>
    <xf numFmtId="0" fontId="97" fillId="25" borderId="177" xfId="0" applyFont="1" applyFill="1" applyBorder="1" applyProtection="1"/>
    <xf numFmtId="0" fontId="97" fillId="25" borderId="177" xfId="0" quotePrefix="1" applyFont="1" applyFill="1" applyBorder="1" applyProtection="1"/>
    <xf numFmtId="0" fontId="97" fillId="25" borderId="277" xfId="0" quotePrefix="1" applyFont="1" applyFill="1" applyBorder="1" applyProtection="1"/>
    <xf numFmtId="3" fontId="34" fillId="6" borderId="47" xfId="0" applyNumberFormat="1" applyFont="1" applyFill="1" applyBorder="1" applyAlignment="1">
      <alignment horizontal="right"/>
    </xf>
    <xf numFmtId="3" fontId="34" fillId="6" borderId="34" xfId="0" applyNumberFormat="1" applyFont="1" applyFill="1" applyBorder="1" applyAlignment="1">
      <alignment horizontal="right"/>
    </xf>
    <xf numFmtId="0" fontId="105" fillId="2" borderId="0" xfId="0" applyFont="1" applyFill="1" applyAlignment="1">
      <alignment horizontal="right"/>
    </xf>
    <xf numFmtId="0" fontId="34" fillId="2" borderId="57" xfId="0" applyFont="1" applyFill="1" applyBorder="1"/>
    <xf numFmtId="4" fontId="34" fillId="2" borderId="30" xfId="0" applyNumberFormat="1" applyFont="1" applyFill="1" applyBorder="1" applyAlignment="1">
      <alignment horizontal="center"/>
    </xf>
    <xf numFmtId="0" fontId="66" fillId="9" borderId="50" xfId="0" applyFont="1" applyFill="1" applyBorder="1"/>
    <xf numFmtId="0" fontId="66" fillId="2" borderId="0" xfId="0" applyFont="1" applyFill="1"/>
    <xf numFmtId="1" fontId="15" fillId="2" borderId="10" xfId="0" applyNumberFormat="1" applyFont="1" applyFill="1" applyBorder="1" applyAlignment="1">
      <alignment horizontal="right"/>
    </xf>
    <xf numFmtId="0" fontId="15" fillId="2" borderId="33" xfId="0" applyFont="1" applyFill="1" applyBorder="1"/>
    <xf numFmtId="169" fontId="12" fillId="7" borderId="33" xfId="1" applyNumberFormat="1" applyFont="1" applyFill="1" applyBorder="1" applyAlignment="1">
      <alignment horizontal="center"/>
    </xf>
    <xf numFmtId="169" fontId="12" fillId="7" borderId="5" xfId="1" applyNumberFormat="1" applyFont="1" applyFill="1" applyBorder="1" applyAlignment="1">
      <alignment horizontal="center"/>
    </xf>
    <xf numFmtId="169" fontId="12" fillId="7" borderId="5" xfId="1" applyNumberFormat="1" applyFont="1" applyFill="1" applyBorder="1" applyAlignment="1">
      <alignment horizontal="right"/>
    </xf>
    <xf numFmtId="169" fontId="12" fillId="7" borderId="34" xfId="1" applyNumberFormat="1" applyFont="1" applyFill="1" applyBorder="1" applyAlignment="1">
      <alignment horizontal="right"/>
    </xf>
    <xf numFmtId="169" fontId="12" fillId="2" borderId="33" xfId="1" applyNumberFormat="1" applyFont="1" applyFill="1" applyBorder="1" applyAlignment="1">
      <alignment horizontal="right"/>
    </xf>
    <xf numFmtId="169" fontId="12" fillId="2" borderId="5" xfId="1" applyNumberFormat="1" applyFont="1" applyFill="1" applyBorder="1" applyAlignment="1">
      <alignment horizontal="right"/>
    </xf>
    <xf numFmtId="0" fontId="8" fillId="5" borderId="23" xfId="0" applyFont="1" applyFill="1" applyBorder="1" applyAlignment="1">
      <alignment horizontal="right"/>
    </xf>
    <xf numFmtId="0" fontId="8" fillId="5" borderId="3" xfId="0" applyFont="1" applyFill="1" applyBorder="1" applyAlignment="1">
      <alignment horizontal="right"/>
    </xf>
    <xf numFmtId="0" fontId="8" fillId="5" borderId="3" xfId="0" applyFont="1" applyFill="1" applyBorder="1"/>
    <xf numFmtId="0" fontId="8" fillId="5" borderId="31" xfId="0" applyFont="1" applyFill="1" applyBorder="1"/>
    <xf numFmtId="0" fontId="15" fillId="5" borderId="31" xfId="0" applyFont="1" applyFill="1" applyBorder="1"/>
    <xf numFmtId="0" fontId="12" fillId="2" borderId="48" xfId="0" applyFont="1" applyFill="1" applyBorder="1"/>
    <xf numFmtId="0" fontId="62" fillId="9" borderId="278" xfId="0" applyFont="1" applyFill="1" applyBorder="1"/>
    <xf numFmtId="0" fontId="62" fillId="9" borderId="37" xfId="0" applyFont="1" applyFill="1" applyBorder="1"/>
    <xf numFmtId="0" fontId="66" fillId="9" borderId="177" xfId="0" applyFont="1" applyFill="1" applyBorder="1"/>
    <xf numFmtId="3" fontId="15" fillId="2" borderId="33" xfId="0" applyNumberFormat="1" applyFont="1" applyFill="1" applyBorder="1" applyAlignment="1">
      <alignment horizontal="right"/>
    </xf>
    <xf numFmtId="3" fontId="15" fillId="2" borderId="5" xfId="0" applyNumberFormat="1" applyFont="1" applyFill="1" applyBorder="1" applyAlignment="1">
      <alignment horizontal="right"/>
    </xf>
    <xf numFmtId="3" fontId="15" fillId="2" borderId="34" xfId="0" applyNumberFormat="1" applyFont="1" applyFill="1" applyBorder="1" applyAlignment="1">
      <alignment horizontal="right"/>
    </xf>
    <xf numFmtId="3" fontId="15" fillId="2" borderId="33" xfId="0" applyNumberFormat="1" applyFont="1" applyFill="1" applyBorder="1" applyAlignment="1">
      <alignment horizontal="center"/>
    </xf>
    <xf numFmtId="3" fontId="15" fillId="2" borderId="5" xfId="0" applyNumberFormat="1" applyFont="1" applyFill="1" applyBorder="1" applyAlignment="1">
      <alignment horizontal="center"/>
    </xf>
    <xf numFmtId="3" fontId="15" fillId="7" borderId="24" xfId="0" applyNumberFormat="1" applyFont="1" applyFill="1" applyBorder="1" applyAlignment="1">
      <alignment horizontal="center"/>
    </xf>
    <xf numFmtId="3" fontId="15" fillId="7" borderId="20" xfId="0" applyNumberFormat="1" applyFont="1" applyFill="1" applyBorder="1" applyAlignment="1">
      <alignment horizontal="center"/>
    </xf>
    <xf numFmtId="3" fontId="15" fillId="7" borderId="20" xfId="0" applyNumberFormat="1" applyFont="1" applyFill="1" applyBorder="1" applyAlignment="1">
      <alignment horizontal="right"/>
    </xf>
    <xf numFmtId="3" fontId="15" fillId="7" borderId="57" xfId="0" applyNumberFormat="1" applyFont="1" applyFill="1" applyBorder="1" applyAlignment="1">
      <alignment horizontal="right"/>
    </xf>
    <xf numFmtId="3" fontId="15" fillId="2" borderId="24" xfId="0" applyNumberFormat="1" applyFont="1" applyFill="1" applyBorder="1" applyAlignment="1">
      <alignment horizontal="right"/>
    </xf>
    <xf numFmtId="3" fontId="15" fillId="2" borderId="20" xfId="0" applyNumberFormat="1" applyFont="1" applyFill="1" applyBorder="1" applyAlignment="1">
      <alignment horizontal="right"/>
    </xf>
    <xf numFmtId="3" fontId="15" fillId="2" borderId="57" xfId="0" applyNumberFormat="1" applyFont="1" applyFill="1" applyBorder="1" applyAlignment="1">
      <alignment horizontal="right"/>
    </xf>
    <xf numFmtId="10" fontId="12" fillId="2" borderId="5" xfId="1" applyNumberFormat="1" applyFont="1" applyFill="1" applyBorder="1" applyAlignment="1">
      <alignment horizontal="right"/>
    </xf>
    <xf numFmtId="10" fontId="12" fillId="2" borderId="34" xfId="1" applyNumberFormat="1" applyFont="1" applyFill="1" applyBorder="1" applyAlignment="1">
      <alignment horizontal="right"/>
    </xf>
    <xf numFmtId="10" fontId="12" fillId="2" borderId="33" xfId="1" applyNumberFormat="1" applyFont="1" applyFill="1" applyBorder="1" applyAlignment="1">
      <alignment horizontal="center"/>
    </xf>
    <xf numFmtId="10" fontId="12" fillId="2" borderId="5" xfId="1" applyNumberFormat="1" applyFont="1" applyFill="1" applyBorder="1" applyAlignment="1">
      <alignment horizontal="center"/>
    </xf>
    <xf numFmtId="3" fontId="15" fillId="5" borderId="4" xfId="0" applyNumberFormat="1" applyFont="1" applyFill="1" applyBorder="1"/>
    <xf numFmtId="3" fontId="15" fillId="5" borderId="36" xfId="0" applyNumberFormat="1" applyFont="1" applyFill="1" applyBorder="1"/>
    <xf numFmtId="3" fontId="15" fillId="7" borderId="24" xfId="0" applyNumberFormat="1" applyFont="1" applyFill="1" applyBorder="1" applyAlignment="1">
      <alignment horizontal="right"/>
    </xf>
    <xf numFmtId="10" fontId="15" fillId="2" borderId="33" xfId="1" applyNumberFormat="1" applyFont="1" applyFill="1" applyBorder="1" applyAlignment="1">
      <alignment horizontal="center"/>
    </xf>
    <xf numFmtId="10" fontId="15" fillId="2" borderId="5" xfId="1" applyNumberFormat="1" applyFont="1" applyFill="1" applyBorder="1" applyAlignment="1">
      <alignment horizontal="center"/>
    </xf>
    <xf numFmtId="10" fontId="15" fillId="2" borderId="5" xfId="1" applyNumberFormat="1" applyFont="1" applyFill="1" applyBorder="1" applyAlignment="1">
      <alignment horizontal="right"/>
    </xf>
    <xf numFmtId="10" fontId="15" fillId="2" borderId="34" xfId="1" applyNumberFormat="1" applyFont="1" applyFill="1" applyBorder="1" applyAlignment="1">
      <alignment horizontal="right"/>
    </xf>
    <xf numFmtId="10" fontId="15" fillId="2" borderId="33" xfId="1" applyNumberFormat="1" applyFont="1" applyFill="1" applyBorder="1" applyAlignment="1">
      <alignment horizontal="right"/>
    </xf>
    <xf numFmtId="0" fontId="15" fillId="28" borderId="33" xfId="0" applyFont="1" applyFill="1" applyBorder="1"/>
    <xf numFmtId="10" fontId="15" fillId="28" borderId="33" xfId="1" applyNumberFormat="1" applyFont="1" applyFill="1" applyBorder="1" applyAlignment="1">
      <alignment horizontal="center"/>
    </xf>
    <xf numFmtId="10" fontId="15" fillId="28" borderId="5" xfId="1" applyNumberFormat="1" applyFont="1" applyFill="1" applyBorder="1" applyAlignment="1">
      <alignment horizontal="center"/>
    </xf>
    <xf numFmtId="10" fontId="15" fillId="28" borderId="5" xfId="1" applyNumberFormat="1" applyFont="1" applyFill="1" applyBorder="1" applyAlignment="1">
      <alignment horizontal="right"/>
    </xf>
    <xf numFmtId="10" fontId="15" fillId="28" borderId="34" xfId="1" applyNumberFormat="1" applyFont="1" applyFill="1" applyBorder="1" applyAlignment="1">
      <alignment horizontal="right"/>
    </xf>
    <xf numFmtId="10" fontId="15" fillId="28" borderId="33" xfId="1" applyNumberFormat="1" applyFont="1" applyFill="1" applyBorder="1" applyAlignment="1">
      <alignment horizontal="right"/>
    </xf>
    <xf numFmtId="0" fontId="106" fillId="2" borderId="0" xfId="0" applyFont="1" applyFill="1"/>
    <xf numFmtId="3" fontId="15" fillId="7" borderId="35" xfId="0" applyNumberFormat="1" applyFont="1" applyFill="1" applyBorder="1" applyAlignment="1">
      <alignment horizontal="center"/>
    </xf>
    <xf numFmtId="3" fontId="15" fillId="7" borderId="4" xfId="0" applyNumberFormat="1" applyFont="1" applyFill="1" applyBorder="1" applyAlignment="1">
      <alignment horizontal="center"/>
    </xf>
    <xf numFmtId="3" fontId="15" fillId="7" borderId="4" xfId="0" applyNumberFormat="1" applyFont="1" applyFill="1" applyBorder="1" applyAlignment="1">
      <alignment horizontal="right"/>
    </xf>
    <xf numFmtId="3" fontId="15" fillId="7" borderId="36" xfId="0" applyNumberFormat="1" applyFont="1" applyFill="1" applyBorder="1" applyAlignment="1">
      <alignment horizontal="right"/>
    </xf>
    <xf numFmtId="3" fontId="15" fillId="7" borderId="35" xfId="0" applyNumberFormat="1" applyFont="1" applyFill="1" applyBorder="1" applyAlignment="1">
      <alignment horizontal="right"/>
    </xf>
    <xf numFmtId="0" fontId="12" fillId="2" borderId="279" xfId="0" applyFont="1" applyFill="1" applyBorder="1"/>
    <xf numFmtId="9" fontId="7" fillId="2" borderId="0" xfId="1" applyNumberFormat="1" applyFont="1" applyFill="1" applyAlignment="1">
      <alignment horizontal="right"/>
    </xf>
    <xf numFmtId="3" fontId="7" fillId="2" borderId="0" xfId="0" applyNumberFormat="1" applyFont="1" applyFill="1"/>
    <xf numFmtId="3" fontId="12" fillId="2" borderId="0" xfId="0" applyNumberFormat="1" applyFont="1" applyFill="1"/>
    <xf numFmtId="3" fontId="34" fillId="7" borderId="75" xfId="0" applyNumberFormat="1" applyFont="1" applyFill="1" applyBorder="1" applyAlignment="1">
      <alignment horizontal="right"/>
    </xf>
    <xf numFmtId="3" fontId="34" fillId="7" borderId="55" xfId="0" applyNumberFormat="1" applyFont="1" applyFill="1" applyBorder="1" applyAlignment="1">
      <alignment horizontal="right"/>
    </xf>
    <xf numFmtId="10" fontId="34" fillId="2" borderId="9" xfId="1" applyNumberFormat="1" applyFont="1" applyFill="1" applyBorder="1" applyAlignment="1">
      <alignment horizontal="right"/>
    </xf>
    <xf numFmtId="10" fontId="34" fillId="2" borderId="0" xfId="1" applyNumberFormat="1" applyFont="1" applyFill="1" applyBorder="1" applyAlignment="1">
      <alignment horizontal="right"/>
    </xf>
    <xf numFmtId="10" fontId="34" fillId="2" borderId="32" xfId="1" applyNumberFormat="1" applyFont="1" applyFill="1" applyBorder="1" applyAlignment="1">
      <alignment horizontal="right"/>
    </xf>
    <xf numFmtId="0" fontId="34" fillId="2" borderId="8" xfId="0" applyFont="1" applyFill="1" applyBorder="1"/>
    <xf numFmtId="10" fontId="34" fillId="2" borderId="8" xfId="1" applyNumberFormat="1" applyFont="1" applyFill="1" applyBorder="1" applyAlignment="1">
      <alignment horizontal="right"/>
    </xf>
    <xf numFmtId="10" fontId="34" fillId="2" borderId="1" xfId="1" applyNumberFormat="1" applyFont="1" applyFill="1" applyBorder="1" applyAlignment="1">
      <alignment horizontal="right"/>
    </xf>
    <xf numFmtId="10" fontId="34" fillId="2" borderId="49" xfId="1" applyNumberFormat="1" applyFont="1" applyFill="1" applyBorder="1" applyAlignment="1">
      <alignment horizontal="right"/>
    </xf>
    <xf numFmtId="3" fontId="34" fillId="7" borderId="49" xfId="0" applyNumberFormat="1" applyFont="1" applyFill="1" applyBorder="1" applyAlignment="1">
      <alignment horizontal="right"/>
    </xf>
    <xf numFmtId="3" fontId="34" fillId="2" borderId="9" xfId="0" applyNumberFormat="1" applyFont="1" applyFill="1" applyBorder="1" applyAlignment="1">
      <alignment horizontal="right"/>
    </xf>
    <xf numFmtId="3" fontId="34" fillId="2" borderId="0" xfId="0" applyNumberFormat="1" applyFont="1" applyFill="1" applyBorder="1" applyAlignment="1">
      <alignment horizontal="right"/>
    </xf>
    <xf numFmtId="3" fontId="34" fillId="2" borderId="32" xfId="0" applyNumberFormat="1" applyFont="1" applyFill="1" applyBorder="1" applyAlignment="1">
      <alignment horizontal="right"/>
    </xf>
    <xf numFmtId="0" fontId="34" fillId="2" borderId="259" xfId="0" applyFont="1" applyFill="1" applyBorder="1"/>
    <xf numFmtId="3" fontId="34" fillId="2" borderId="259" xfId="0" applyNumberFormat="1" applyFont="1" applyFill="1" applyBorder="1"/>
    <xf numFmtId="3" fontId="34" fillId="2" borderId="259" xfId="1" applyNumberFormat="1" applyFont="1" applyFill="1" applyBorder="1"/>
    <xf numFmtId="0" fontId="24" fillId="5" borderId="259" xfId="0" applyFont="1" applyFill="1" applyBorder="1"/>
    <xf numFmtId="0" fontId="24" fillId="5" borderId="259" xfId="0" applyFont="1" applyFill="1" applyBorder="1" applyAlignment="1">
      <alignment horizontal="right"/>
    </xf>
    <xf numFmtId="1" fontId="24" fillId="5" borderId="259" xfId="0" applyNumberFormat="1" applyFont="1" applyFill="1" applyBorder="1" applyAlignment="1">
      <alignment horizontal="right"/>
    </xf>
    <xf numFmtId="0" fontId="25" fillId="11" borderId="32" xfId="0" applyFont="1" applyFill="1" applyBorder="1" applyAlignment="1">
      <alignment horizontal="left"/>
    </xf>
    <xf numFmtId="1" fontId="12" fillId="2" borderId="0" xfId="0" applyNumberFormat="1" applyFont="1" applyFill="1"/>
    <xf numFmtId="0" fontId="73" fillId="2" borderId="0" xfId="0" applyFont="1" applyFill="1"/>
    <xf numFmtId="0" fontId="47" fillId="29" borderId="51" xfId="0" applyFont="1" applyFill="1" applyBorder="1"/>
    <xf numFmtId="0" fontId="48" fillId="29" borderId="51" xfId="0" applyFont="1" applyFill="1" applyBorder="1"/>
    <xf numFmtId="0" fontId="23" fillId="29" borderId="51" xfId="0" applyFont="1" applyFill="1" applyBorder="1"/>
    <xf numFmtId="0" fontId="12" fillId="29" borderId="0" xfId="0" applyFont="1" applyFill="1"/>
    <xf numFmtId="0" fontId="43" fillId="29" borderId="0" xfId="0" applyFont="1" applyFill="1" applyBorder="1" applyAlignment="1">
      <alignment horizontal="right"/>
    </xf>
    <xf numFmtId="0" fontId="12" fillId="2" borderId="282" xfId="0" applyFont="1" applyFill="1" applyBorder="1"/>
    <xf numFmtId="0" fontId="15" fillId="5" borderId="44" xfId="0" applyFont="1" applyFill="1" applyBorder="1"/>
    <xf numFmtId="0" fontId="12" fillId="5" borderId="2" xfId="0" applyFont="1" applyFill="1" applyBorder="1"/>
    <xf numFmtId="3" fontId="15" fillId="5" borderId="48" xfId="0" applyNumberFormat="1" applyFont="1" applyFill="1" applyBorder="1" applyAlignment="1">
      <alignment horizontal="center"/>
    </xf>
    <xf numFmtId="0" fontId="15" fillId="5" borderId="9" xfId="0" applyFont="1" applyFill="1" applyBorder="1"/>
    <xf numFmtId="0" fontId="15" fillId="5" borderId="0" xfId="0" applyFont="1" applyFill="1" applyBorder="1"/>
    <xf numFmtId="3" fontId="15" fillId="5" borderId="22" xfId="0" applyNumberFormat="1" applyFont="1" applyFill="1" applyBorder="1" applyAlignment="1">
      <alignment horizontal="center"/>
    </xf>
    <xf numFmtId="0" fontId="17" fillId="25" borderId="0" xfId="0" applyFont="1" applyFill="1" applyBorder="1"/>
    <xf numFmtId="0" fontId="17" fillId="25" borderId="0" xfId="0" applyFont="1" applyFill="1" applyBorder="1" applyAlignment="1">
      <alignment horizontal="center" vertical="center"/>
    </xf>
    <xf numFmtId="0" fontId="56" fillId="25" borderId="0" xfId="0" applyFont="1" applyFill="1" applyBorder="1"/>
    <xf numFmtId="0" fontId="8" fillId="4" borderId="153" xfId="0" applyFont="1" applyFill="1" applyBorder="1"/>
    <xf numFmtId="3" fontId="8" fillId="6" borderId="153" xfId="0" applyNumberFormat="1" applyFont="1" applyFill="1" applyBorder="1" applyAlignment="1">
      <alignment horizontal="center"/>
    </xf>
    <xf numFmtId="3" fontId="92" fillId="2" borderId="0" xfId="0" applyNumberFormat="1" applyFont="1" applyFill="1"/>
    <xf numFmtId="3" fontId="64" fillId="2" borderId="0" xfId="0" applyNumberFormat="1" applyFont="1" applyFill="1"/>
    <xf numFmtId="3" fontId="34" fillId="2" borderId="0" xfId="0" applyNumberFormat="1" applyFont="1" applyFill="1"/>
    <xf numFmtId="0" fontId="97" fillId="25" borderId="283" xfId="0" quotePrefix="1" applyFont="1" applyFill="1" applyBorder="1" applyProtection="1"/>
    <xf numFmtId="0" fontId="24" fillId="4" borderId="284" xfId="0" applyFont="1" applyFill="1" applyBorder="1"/>
    <xf numFmtId="0" fontId="24" fillId="4" borderId="285" xfId="0" applyFont="1" applyFill="1" applyBorder="1" applyAlignment="1">
      <alignment horizontal="right"/>
    </xf>
    <xf numFmtId="0" fontId="24" fillId="4" borderId="286" xfId="0" applyFont="1" applyFill="1" applyBorder="1" applyAlignment="1">
      <alignment horizontal="right"/>
    </xf>
    <xf numFmtId="0" fontId="34" fillId="2" borderId="254" xfId="0" applyFont="1" applyFill="1" applyBorder="1"/>
    <xf numFmtId="3" fontId="34" fillId="7" borderId="287" xfId="0" applyNumberFormat="1" applyFont="1" applyFill="1" applyBorder="1" applyAlignment="1">
      <alignment horizontal="right"/>
    </xf>
    <xf numFmtId="3" fontId="34" fillId="7" borderId="255" xfId="0" applyNumberFormat="1" applyFont="1" applyFill="1" applyBorder="1" applyAlignment="1">
      <alignment horizontal="right"/>
    </xf>
    <xf numFmtId="0" fontId="34" fillId="2" borderId="154" xfId="0" applyFont="1" applyFill="1" applyBorder="1"/>
    <xf numFmtId="9" fontId="34" fillId="2" borderId="153" xfId="1" applyFont="1" applyFill="1" applyBorder="1" applyAlignment="1">
      <alignment horizontal="right"/>
    </xf>
    <xf numFmtId="9" fontId="34" fillId="2" borderId="155" xfId="1" applyFont="1" applyFill="1" applyBorder="1" applyAlignment="1">
      <alignment horizontal="right"/>
    </xf>
    <xf numFmtId="0" fontId="24" fillId="4" borderId="288" xfId="0" applyFont="1" applyFill="1" applyBorder="1"/>
    <xf numFmtId="0" fontId="34" fillId="4" borderId="289" xfId="0" applyFont="1" applyFill="1" applyBorder="1"/>
    <xf numFmtId="0" fontId="34" fillId="2" borderId="290" xfId="0" applyFont="1" applyFill="1" applyBorder="1"/>
    <xf numFmtId="0" fontId="34" fillId="2" borderId="291" xfId="0" applyFont="1" applyFill="1" applyBorder="1"/>
    <xf numFmtId="0" fontId="34" fillId="2" borderId="292" xfId="0" applyFont="1" applyFill="1" applyBorder="1"/>
    <xf numFmtId="10" fontId="34" fillId="7" borderId="293" xfId="0" applyNumberFormat="1" applyFont="1" applyFill="1" applyBorder="1" applyAlignment="1">
      <alignment horizontal="right"/>
    </xf>
    <xf numFmtId="10" fontId="34" fillId="7" borderId="294" xfId="0" applyNumberFormat="1" applyFont="1" applyFill="1" applyBorder="1" applyAlignment="1">
      <alignment horizontal="right"/>
    </xf>
    <xf numFmtId="10" fontId="34" fillId="7" borderId="295" xfId="0" applyNumberFormat="1" applyFont="1" applyFill="1" applyBorder="1" applyAlignment="1">
      <alignment horizontal="right"/>
    </xf>
    <xf numFmtId="0" fontId="24" fillId="4" borderId="296" xfId="0" applyFont="1" applyFill="1" applyBorder="1" applyAlignment="1">
      <alignment horizontal="right"/>
    </xf>
    <xf numFmtId="0" fontId="24" fillId="4" borderId="297" xfId="0" applyFont="1" applyFill="1" applyBorder="1" applyAlignment="1">
      <alignment horizontal="right"/>
    </xf>
    <xf numFmtId="3" fontId="34" fillId="7" borderId="185" xfId="0" applyNumberFormat="1" applyFont="1" applyFill="1" applyBorder="1" applyAlignment="1">
      <alignment horizontal="right"/>
    </xf>
    <xf numFmtId="3" fontId="34" fillId="7" borderId="263" xfId="0" applyNumberFormat="1" applyFont="1" applyFill="1" applyBorder="1" applyAlignment="1">
      <alignment horizontal="right"/>
    </xf>
    <xf numFmtId="9" fontId="34" fillId="2" borderId="298" xfId="1" applyFont="1" applyFill="1" applyBorder="1" applyAlignment="1">
      <alignment horizontal="right"/>
    </xf>
    <xf numFmtId="9" fontId="34" fillId="2" borderId="299" xfId="1" applyFont="1" applyFill="1" applyBorder="1" applyAlignment="1">
      <alignment horizontal="right"/>
    </xf>
    <xf numFmtId="169" fontId="34" fillId="6" borderId="24" xfId="0" applyNumberFormat="1" applyFont="1" applyFill="1" applyBorder="1" applyAlignment="1">
      <alignment horizontal="center"/>
    </xf>
    <xf numFmtId="169" fontId="34" fillId="6" borderId="20" xfId="0" applyNumberFormat="1" applyFont="1" applyFill="1" applyBorder="1" applyAlignment="1">
      <alignment horizontal="center"/>
    </xf>
    <xf numFmtId="0" fontId="34" fillId="2" borderId="57" xfId="0" applyFont="1" applyFill="1" applyBorder="1" applyAlignment="1">
      <alignment horizontal="center"/>
    </xf>
    <xf numFmtId="0" fontId="34" fillId="2" borderId="31" xfId="0" applyFont="1" applyFill="1" applyBorder="1" applyAlignment="1">
      <alignment horizontal="center"/>
    </xf>
    <xf numFmtId="170" fontId="34" fillId="2" borderId="3" xfId="0" applyNumberFormat="1" applyFont="1" applyFill="1" applyBorder="1" applyAlignment="1">
      <alignment horizontal="center"/>
    </xf>
    <xf numFmtId="170" fontId="34" fillId="2" borderId="10" xfId="0" applyNumberFormat="1" applyFont="1" applyFill="1" applyBorder="1" applyAlignment="1">
      <alignment horizontal="center"/>
    </xf>
    <xf numFmtId="0" fontId="107" fillId="11" borderId="187" xfId="0" applyFont="1" applyFill="1" applyBorder="1"/>
    <xf numFmtId="0" fontId="108" fillId="11" borderId="186" xfId="0" applyFont="1" applyFill="1" applyBorder="1"/>
    <xf numFmtId="0" fontId="108" fillId="11" borderId="262" xfId="0" applyFont="1" applyFill="1" applyBorder="1"/>
    <xf numFmtId="0" fontId="92" fillId="30" borderId="259" xfId="0" applyFont="1" applyFill="1" applyBorder="1"/>
    <xf numFmtId="0" fontId="25" fillId="25" borderId="156" xfId="0" applyFont="1" applyFill="1" applyBorder="1"/>
    <xf numFmtId="3" fontId="15" fillId="5" borderId="185" xfId="0" applyNumberFormat="1" applyFont="1" applyFill="1" applyBorder="1" applyAlignment="1">
      <alignment horizontal="right"/>
    </xf>
    <xf numFmtId="3" fontId="15" fillId="5" borderId="0" xfId="0" applyNumberFormat="1" applyFont="1" applyFill="1" applyBorder="1" applyAlignment="1">
      <alignment horizontal="right"/>
    </xf>
    <xf numFmtId="3" fontId="12" fillId="6" borderId="185" xfId="0" applyNumberFormat="1" applyFont="1" applyFill="1" applyBorder="1" applyAlignment="1">
      <alignment horizontal="right"/>
    </xf>
    <xf numFmtId="3" fontId="12" fillId="6" borderId="0" xfId="0" applyNumberFormat="1" applyFont="1" applyFill="1" applyBorder="1" applyAlignment="1">
      <alignment horizontal="right"/>
    </xf>
    <xf numFmtId="3" fontId="12" fillId="2" borderId="185" xfId="0" applyNumberFormat="1" applyFont="1" applyFill="1" applyBorder="1" applyAlignment="1">
      <alignment horizontal="right"/>
    </xf>
    <xf numFmtId="1" fontId="56" fillId="25" borderId="280" xfId="0" applyNumberFormat="1" applyFont="1" applyFill="1" applyBorder="1" applyAlignment="1">
      <alignment horizontal="right"/>
    </xf>
    <xf numFmtId="1" fontId="56" fillId="25" borderId="156" xfId="0" applyNumberFormat="1" applyFont="1" applyFill="1" applyBorder="1" applyAlignment="1">
      <alignment horizontal="right"/>
    </xf>
    <xf numFmtId="1" fontId="12" fillId="2" borderId="185" xfId="0" applyNumberFormat="1" applyFont="1" applyFill="1" applyBorder="1" applyAlignment="1">
      <alignment horizontal="right"/>
    </xf>
    <xf numFmtId="3" fontId="15" fillId="2" borderId="185" xfId="0" applyNumberFormat="1" applyFont="1" applyFill="1" applyBorder="1" applyAlignment="1">
      <alignment horizontal="right"/>
    </xf>
    <xf numFmtId="3" fontId="15" fillId="2" borderId="0" xfId="0" applyNumberFormat="1" applyFont="1" applyFill="1" applyBorder="1" applyAlignment="1">
      <alignment horizontal="right"/>
    </xf>
    <xf numFmtId="1" fontId="15" fillId="2" borderId="185" xfId="0" applyNumberFormat="1" applyFont="1" applyFill="1" applyBorder="1" applyAlignment="1">
      <alignment horizontal="right"/>
    </xf>
    <xf numFmtId="0" fontId="62" fillId="25" borderId="0" xfId="0" applyFont="1" applyFill="1" applyBorder="1" applyAlignment="1">
      <alignment horizontal="right"/>
    </xf>
    <xf numFmtId="0" fontId="25" fillId="25" borderId="156" xfId="0" applyFont="1" applyFill="1" applyBorder="1" applyAlignment="1">
      <alignment horizontal="right" vertical="center"/>
    </xf>
    <xf numFmtId="0" fontId="12" fillId="2" borderId="0" xfId="0" applyFont="1" applyFill="1" applyAlignment="1"/>
    <xf numFmtId="0" fontId="94" fillId="25" borderId="0" xfId="0" applyFont="1" applyFill="1" applyBorder="1" applyAlignment="1"/>
    <xf numFmtId="0" fontId="62" fillId="25" borderId="0" xfId="0" applyFont="1" applyFill="1" applyBorder="1" applyAlignment="1"/>
    <xf numFmtId="0" fontId="25" fillId="25" borderId="156" xfId="0" applyFont="1" applyFill="1" applyBorder="1" applyAlignment="1">
      <alignment vertical="center"/>
    </xf>
    <xf numFmtId="3" fontId="15" fillId="5" borderId="0" xfId="0" applyNumberFormat="1" applyFont="1" applyFill="1" applyAlignment="1"/>
    <xf numFmtId="3" fontId="12" fillId="2" borderId="0" xfId="0" applyNumberFormat="1" applyFont="1" applyFill="1" applyAlignment="1"/>
    <xf numFmtId="14" fontId="56" fillId="25" borderId="156" xfId="0" applyNumberFormat="1" applyFont="1" applyFill="1" applyBorder="1" applyAlignment="1"/>
    <xf numFmtId="3" fontId="15" fillId="2" borderId="0" xfId="0" applyNumberFormat="1" applyFont="1" applyFill="1" applyAlignment="1"/>
    <xf numFmtId="3" fontId="12" fillId="2" borderId="0" xfId="0" applyNumberFormat="1" applyFont="1" applyFill="1" applyBorder="1" applyAlignment="1"/>
    <xf numFmtId="3" fontId="15" fillId="2" borderId="0" xfId="0" applyNumberFormat="1" applyFont="1" applyFill="1" applyBorder="1" applyAlignment="1"/>
    <xf numFmtId="0" fontId="17" fillId="11" borderId="186" xfId="0" applyFont="1" applyFill="1" applyBorder="1"/>
    <xf numFmtId="3" fontId="17" fillId="11" borderId="186" xfId="0" applyNumberFormat="1" applyFont="1" applyFill="1" applyBorder="1" applyAlignment="1"/>
    <xf numFmtId="3" fontId="17" fillId="11" borderId="187" xfId="0" applyNumberFormat="1" applyFont="1" applyFill="1" applyBorder="1" applyAlignment="1">
      <alignment horizontal="right"/>
    </xf>
    <xf numFmtId="3" fontId="17" fillId="11" borderId="186" xfId="0" applyNumberFormat="1" applyFont="1" applyFill="1" applyBorder="1" applyAlignment="1">
      <alignment horizontal="right"/>
    </xf>
    <xf numFmtId="0" fontId="25" fillId="11" borderId="188" xfId="0" applyFont="1" applyFill="1" applyBorder="1"/>
    <xf numFmtId="3" fontId="25" fillId="11" borderId="188" xfId="0" applyNumberFormat="1" applyFont="1" applyFill="1" applyBorder="1" applyAlignment="1"/>
    <xf numFmtId="3" fontId="25" fillId="11" borderId="281" xfId="0" applyNumberFormat="1" applyFont="1" applyFill="1" applyBorder="1" applyAlignment="1">
      <alignment horizontal="right"/>
    </xf>
    <xf numFmtId="3" fontId="25" fillId="11" borderId="188" xfId="0" applyNumberFormat="1" applyFont="1" applyFill="1" applyBorder="1" applyAlignment="1">
      <alignment horizontal="right"/>
    </xf>
    <xf numFmtId="3" fontId="15" fillId="5" borderId="184" xfId="0" applyNumberFormat="1" applyFont="1" applyFill="1" applyBorder="1" applyAlignment="1">
      <alignment horizontal="right"/>
    </xf>
    <xf numFmtId="0" fontId="12" fillId="2" borderId="185" xfId="0" applyFont="1" applyFill="1" applyBorder="1"/>
    <xf numFmtId="3" fontId="34" fillId="2" borderId="0" xfId="0" applyNumberFormat="1" applyFont="1" applyFill="1" applyBorder="1"/>
    <xf numFmtId="0" fontId="88" fillId="2" borderId="0" xfId="0" applyFont="1" applyFill="1" applyAlignment="1">
      <alignment horizontal="center"/>
    </xf>
    <xf numFmtId="4" fontId="34" fillId="2" borderId="293" xfId="2" applyNumberFormat="1" applyFont="1" applyFill="1" applyBorder="1" applyAlignment="1">
      <alignment horizontal="right"/>
    </xf>
    <xf numFmtId="4" fontId="34" fillId="2" borderId="294" xfId="2" applyNumberFormat="1" applyFont="1" applyFill="1" applyBorder="1" applyAlignment="1">
      <alignment horizontal="right"/>
    </xf>
    <xf numFmtId="4" fontId="34" fillId="2" borderId="295" xfId="2" applyNumberFormat="1" applyFont="1" applyFill="1" applyBorder="1" applyAlignment="1">
      <alignment horizontal="right"/>
    </xf>
    <xf numFmtId="4" fontId="34" fillId="6" borderId="24" xfId="0" applyNumberFormat="1" applyFont="1" applyFill="1" applyBorder="1" applyAlignment="1">
      <alignment horizontal="right"/>
    </xf>
    <xf numFmtId="4" fontId="34" fillId="6" borderId="20" xfId="0" applyNumberFormat="1" applyFont="1" applyFill="1" applyBorder="1" applyAlignment="1">
      <alignment horizontal="right"/>
    </xf>
    <xf numFmtId="10" fontId="36" fillId="9" borderId="300" xfId="1" applyNumberFormat="1" applyFont="1" applyFill="1" applyBorder="1" applyAlignment="1">
      <alignment horizontal="center"/>
    </xf>
    <xf numFmtId="0" fontId="36" fillId="9" borderId="300" xfId="0" applyFont="1" applyFill="1" applyBorder="1" applyAlignment="1">
      <alignment horizontal="center"/>
    </xf>
    <xf numFmtId="0" fontId="15" fillId="5" borderId="301" xfId="0" applyFont="1" applyFill="1" applyBorder="1"/>
    <xf numFmtId="3" fontId="15" fillId="5" borderId="301" xfId="0" applyNumberFormat="1" applyFont="1" applyFill="1" applyBorder="1" applyAlignment="1">
      <alignment horizontal="right"/>
    </xf>
    <xf numFmtId="3" fontId="15" fillId="5" borderId="301" xfId="0" applyNumberFormat="1" applyFont="1" applyFill="1" applyBorder="1"/>
    <xf numFmtId="0" fontId="15" fillId="5" borderId="302" xfId="0" applyFont="1" applyFill="1" applyBorder="1"/>
    <xf numFmtId="3" fontId="15" fillId="5" borderId="302" xfId="0" applyNumberFormat="1" applyFont="1" applyFill="1" applyBorder="1" applyAlignment="1">
      <alignment horizontal="right"/>
    </xf>
    <xf numFmtId="3" fontId="15" fillId="5" borderId="303" xfId="0" applyNumberFormat="1" applyFont="1" applyFill="1" applyBorder="1"/>
    <xf numFmtId="0" fontId="64" fillId="2" borderId="0" xfId="0" applyFont="1" applyFill="1" applyAlignment="1">
      <alignment horizontal="right"/>
    </xf>
    <xf numFmtId="0" fontId="9" fillId="18" borderId="266" xfId="0" quotePrefix="1" applyFont="1" applyFill="1" applyBorder="1" applyAlignment="1">
      <alignment horizontal="right"/>
    </xf>
    <xf numFmtId="169" fontId="7" fillId="3" borderId="0" xfId="1" applyNumberFormat="1" applyFont="1" applyFill="1" applyAlignment="1">
      <alignment horizontal="right"/>
    </xf>
    <xf numFmtId="169" fontId="7" fillId="2" borderId="30" xfId="1" applyNumberFormat="1" applyFont="1" applyFill="1" applyBorder="1" applyAlignment="1">
      <alignment horizontal="center"/>
    </xf>
    <xf numFmtId="0" fontId="17" fillId="11" borderId="165" xfId="0" applyFont="1" applyFill="1" applyBorder="1"/>
    <xf numFmtId="0" fontId="17" fillId="11" borderId="167" xfId="0" applyFont="1" applyFill="1" applyBorder="1" applyAlignment="1">
      <alignment horizontal="center"/>
    </xf>
    <xf numFmtId="0" fontId="12" fillId="2" borderId="121" xfId="0" applyFont="1" applyFill="1" applyBorder="1"/>
    <xf numFmtId="0" fontId="12" fillId="2" borderId="304" xfId="0" applyFont="1" applyFill="1" applyBorder="1"/>
    <xf numFmtId="9" fontId="12" fillId="6" borderId="306" xfId="0" applyNumberFormat="1" applyFont="1" applyFill="1" applyBorder="1"/>
    <xf numFmtId="9" fontId="12" fillId="6" borderId="305" xfId="0" applyNumberFormat="1" applyFont="1" applyFill="1" applyBorder="1"/>
    <xf numFmtId="0" fontId="12" fillId="11" borderId="0" xfId="0" applyFont="1" applyFill="1" applyBorder="1"/>
    <xf numFmtId="169" fontId="9" fillId="9" borderId="30" xfId="1" applyNumberFormat="1" applyFont="1" applyFill="1" applyBorder="1" applyAlignment="1">
      <alignment horizontal="center"/>
    </xf>
    <xf numFmtId="0" fontId="17" fillId="9" borderId="48" xfId="0" applyFont="1" applyFill="1" applyBorder="1"/>
    <xf numFmtId="3" fontId="9" fillId="9" borderId="48" xfId="0" applyNumberFormat="1" applyFont="1" applyFill="1" applyBorder="1" applyAlignment="1">
      <alignment horizontal="center"/>
    </xf>
    <xf numFmtId="0" fontId="17" fillId="9" borderId="308" xfId="0" applyFont="1" applyFill="1" applyBorder="1" applyAlignment="1">
      <alignment horizontal="right"/>
    </xf>
    <xf numFmtId="0" fontId="62" fillId="9" borderId="309" xfId="0" applyFont="1" applyFill="1" applyBorder="1"/>
    <xf numFmtId="0" fontId="62" fillId="9" borderId="310" xfId="0" applyFont="1" applyFill="1" applyBorder="1"/>
    <xf numFmtId="0" fontId="12" fillId="2" borderId="259" xfId="0" applyFont="1" applyFill="1" applyBorder="1"/>
    <xf numFmtId="0" fontId="12" fillId="2" borderId="261" xfId="0" applyFont="1" applyFill="1" applyBorder="1"/>
    <xf numFmtId="169" fontId="12" fillId="7" borderId="261" xfId="1" applyNumberFormat="1" applyFont="1" applyFill="1" applyBorder="1" applyAlignment="1">
      <alignment horizontal="right"/>
    </xf>
    <xf numFmtId="169" fontId="12" fillId="7" borderId="259" xfId="1" applyNumberFormat="1" applyFont="1" applyFill="1" applyBorder="1" applyAlignment="1">
      <alignment horizontal="right"/>
    </xf>
    <xf numFmtId="0" fontId="15" fillId="28" borderId="311" xfId="0" applyFont="1" applyFill="1" applyBorder="1" applyAlignment="1">
      <alignment horizontal="right"/>
    </xf>
    <xf numFmtId="0" fontId="25" fillId="11" borderId="311" xfId="0" applyFont="1" applyFill="1" applyBorder="1"/>
    <xf numFmtId="0" fontId="15" fillId="28" borderId="314" xfId="0" applyFont="1" applyFill="1" applyBorder="1" applyAlignment="1">
      <alignment horizontal="right"/>
    </xf>
    <xf numFmtId="0" fontId="15" fillId="28" borderId="315" xfId="0" applyFont="1" applyFill="1" applyBorder="1" applyAlignment="1">
      <alignment horizontal="right"/>
    </xf>
    <xf numFmtId="0" fontId="12" fillId="2" borderId="316" xfId="0" applyFont="1" applyFill="1" applyBorder="1"/>
    <xf numFmtId="169" fontId="12" fillId="2" borderId="317" xfId="1" applyNumberFormat="1" applyFont="1" applyFill="1" applyBorder="1"/>
    <xf numFmtId="0" fontId="12" fillId="2" borderId="274" xfId="0" applyFont="1" applyFill="1" applyBorder="1"/>
    <xf numFmtId="1" fontId="12" fillId="6" borderId="318" xfId="0" applyNumberFormat="1" applyFont="1" applyFill="1" applyBorder="1" applyAlignment="1">
      <alignment horizontal="center"/>
    </xf>
    <xf numFmtId="182" fontId="12" fillId="2" borderId="275" xfId="2" applyNumberFormat="1" applyFont="1" applyFill="1" applyBorder="1"/>
    <xf numFmtId="182" fontId="12" fillId="2" borderId="275" xfId="1" applyNumberFormat="1" applyFont="1" applyFill="1" applyBorder="1"/>
    <xf numFmtId="182" fontId="12" fillId="2" borderId="276" xfId="1" applyNumberFormat="1" applyFont="1" applyFill="1" applyBorder="1"/>
    <xf numFmtId="1" fontId="12" fillId="6" borderId="130" xfId="0" applyNumberFormat="1" applyFont="1" applyFill="1" applyBorder="1" applyAlignment="1">
      <alignment horizontal="center"/>
    </xf>
    <xf numFmtId="0" fontId="15" fillId="2" borderId="0" xfId="0" applyFont="1" applyFill="1" applyBorder="1" applyAlignment="1"/>
    <xf numFmtId="14" fontId="12" fillId="6" borderId="130" xfId="0" applyNumberFormat="1" applyFont="1" applyFill="1" applyBorder="1" applyAlignment="1">
      <alignment horizontal="center"/>
    </xf>
    <xf numFmtId="179" fontId="12" fillId="6" borderId="130" xfId="0" applyNumberFormat="1" applyFont="1" applyFill="1" applyBorder="1" applyAlignment="1">
      <alignment horizontal="center"/>
    </xf>
    <xf numFmtId="0" fontId="12" fillId="6" borderId="130" xfId="0" applyFont="1" applyFill="1" applyBorder="1" applyAlignment="1">
      <alignment horizontal="center"/>
    </xf>
    <xf numFmtId="1" fontId="12" fillId="6" borderId="150" xfId="0" applyNumberFormat="1" applyFont="1" applyFill="1" applyBorder="1" applyAlignment="1">
      <alignment horizontal="center"/>
    </xf>
    <xf numFmtId="1" fontId="12" fillId="6" borderId="151" xfId="0" applyNumberFormat="1" applyFont="1" applyFill="1" applyBorder="1" applyAlignment="1">
      <alignment horizontal="center"/>
    </xf>
    <xf numFmtId="1" fontId="7" fillId="6" borderId="152" xfId="0" applyNumberFormat="1" applyFont="1" applyFill="1" applyBorder="1" applyAlignment="1">
      <alignment horizontal="center"/>
    </xf>
    <xf numFmtId="0" fontId="24" fillId="10" borderId="319" xfId="0" applyFont="1" applyFill="1" applyBorder="1" applyAlignment="1"/>
    <xf numFmtId="0" fontId="24" fillId="10" borderId="320" xfId="0" applyFont="1" applyFill="1" applyBorder="1" applyAlignment="1"/>
    <xf numFmtId="0" fontId="24" fillId="10" borderId="321" xfId="0" applyFont="1" applyFill="1" applyBorder="1" applyAlignment="1"/>
    <xf numFmtId="0" fontId="24" fillId="10" borderId="322" xfId="0" applyFont="1" applyFill="1" applyBorder="1" applyAlignment="1"/>
    <xf numFmtId="0" fontId="109" fillId="2" borderId="0" xfId="0" applyFont="1" applyFill="1" applyBorder="1" applyAlignment="1"/>
    <xf numFmtId="0" fontId="56" fillId="14" borderId="150" xfId="0" applyFont="1" applyFill="1" applyBorder="1" applyAlignment="1"/>
    <xf numFmtId="0" fontId="17" fillId="14" borderId="151" xfId="0" applyFont="1" applyFill="1" applyBorder="1" applyAlignment="1"/>
    <xf numFmtId="0" fontId="17" fillId="14" borderId="152" xfId="0" applyFont="1" applyFill="1" applyBorder="1" applyAlignment="1"/>
    <xf numFmtId="0" fontId="7" fillId="25" borderId="2" xfId="0" applyFont="1" applyFill="1" applyBorder="1"/>
    <xf numFmtId="3" fontId="8" fillId="25" borderId="2" xfId="0" applyNumberFormat="1" applyFont="1" applyFill="1" applyBorder="1" applyAlignment="1">
      <alignment horizontal="right"/>
    </xf>
    <xf numFmtId="0" fontId="7" fillId="25" borderId="0" xfId="0" applyFont="1" applyFill="1" applyBorder="1"/>
    <xf numFmtId="3" fontId="8" fillId="25" borderId="0" xfId="0" applyNumberFormat="1" applyFont="1" applyFill="1" applyBorder="1" applyAlignment="1">
      <alignment horizontal="right"/>
    </xf>
    <xf numFmtId="0" fontId="7" fillId="25" borderId="1" xfId="0" applyFont="1" applyFill="1" applyBorder="1"/>
    <xf numFmtId="3" fontId="8" fillId="25" borderId="1" xfId="0" applyNumberFormat="1" applyFont="1" applyFill="1" applyBorder="1" applyAlignment="1">
      <alignment horizontal="right"/>
    </xf>
    <xf numFmtId="0" fontId="8" fillId="2" borderId="0" xfId="0" applyFont="1" applyFill="1" applyAlignment="1">
      <alignment horizontal="left"/>
    </xf>
    <xf numFmtId="0" fontId="7" fillId="2" borderId="0" xfId="0" applyFont="1" applyFill="1" applyAlignment="1">
      <alignment horizontal="left" indent="1"/>
    </xf>
    <xf numFmtId="0" fontId="8" fillId="2" borderId="1" xfId="0" applyFont="1" applyFill="1" applyBorder="1" applyAlignment="1">
      <alignment horizontal="left"/>
    </xf>
    <xf numFmtId="0" fontId="8" fillId="2" borderId="0" xfId="0" applyFont="1" applyFill="1" applyBorder="1" applyAlignment="1">
      <alignment horizontal="left"/>
    </xf>
    <xf numFmtId="0" fontId="42" fillId="2" borderId="2" xfId="0" applyFont="1" applyFill="1" applyBorder="1"/>
    <xf numFmtId="0" fontId="24" fillId="10" borderId="323" xfId="0" applyFont="1" applyFill="1" applyBorder="1" applyAlignment="1"/>
    <xf numFmtId="0" fontId="24" fillId="10" borderId="324" xfId="0" applyFont="1" applyFill="1" applyBorder="1" applyAlignment="1"/>
    <xf numFmtId="0" fontId="12" fillId="6" borderId="139" xfId="0" applyFont="1" applyFill="1" applyBorder="1" applyAlignment="1">
      <alignment horizontal="center"/>
    </xf>
    <xf numFmtId="0" fontId="24" fillId="10" borderId="325" xfId="0" applyFont="1" applyFill="1" applyBorder="1" applyAlignment="1"/>
    <xf numFmtId="0" fontId="24" fillId="10" borderId="326" xfId="0" applyFont="1" applyFill="1" applyBorder="1" applyAlignment="1"/>
    <xf numFmtId="0" fontId="24" fillId="10" borderId="329" xfId="0" applyFont="1" applyFill="1" applyBorder="1" applyAlignment="1"/>
    <xf numFmtId="0" fontId="24" fillId="10" borderId="331" xfId="0" applyFont="1" applyFill="1" applyBorder="1" applyAlignment="1"/>
    <xf numFmtId="0" fontId="24" fillId="10" borderId="332" xfId="0" applyFont="1" applyFill="1" applyBorder="1" applyAlignment="1"/>
    <xf numFmtId="0" fontId="12" fillId="6" borderId="334" xfId="0" applyFont="1" applyFill="1" applyBorder="1" applyAlignment="1">
      <alignment horizontal="center"/>
    </xf>
    <xf numFmtId="0" fontId="24" fillId="10" borderId="254" xfId="0" applyFont="1" applyFill="1" applyBorder="1" applyAlignment="1"/>
    <xf numFmtId="0" fontId="12" fillId="6" borderId="328" xfId="0" applyFont="1" applyFill="1" applyBorder="1" applyAlignment="1">
      <alignment horizontal="center"/>
    </xf>
    <xf numFmtId="0" fontId="24" fillId="4" borderId="33" xfId="0" applyFont="1" applyFill="1" applyBorder="1" applyAlignment="1"/>
    <xf numFmtId="0" fontId="24" fillId="4" borderId="5" xfId="0" applyFont="1" applyFill="1" applyBorder="1" applyAlignment="1"/>
    <xf numFmtId="0" fontId="64" fillId="25" borderId="0" xfId="0" applyFont="1" applyFill="1"/>
    <xf numFmtId="0" fontId="57" fillId="25" borderId="0" xfId="0" applyFont="1" applyFill="1"/>
    <xf numFmtId="0" fontId="63" fillId="2" borderId="0" xfId="0" applyFont="1" applyFill="1"/>
    <xf numFmtId="0" fontId="112" fillId="2" borderId="0" xfId="0" applyFont="1" applyFill="1"/>
    <xf numFmtId="0" fontId="64" fillId="2" borderId="0" xfId="0" applyFont="1" applyFill="1" applyAlignment="1">
      <alignment horizontal="left"/>
    </xf>
    <xf numFmtId="0" fontId="24" fillId="4" borderId="187" xfId="0" applyFont="1" applyFill="1" applyBorder="1"/>
    <xf numFmtId="0" fontId="24" fillId="4" borderId="186" xfId="0" applyFont="1" applyFill="1" applyBorder="1"/>
    <xf numFmtId="0" fontId="24" fillId="4" borderId="262" xfId="0" applyFont="1" applyFill="1" applyBorder="1"/>
    <xf numFmtId="0" fontId="34" fillId="2" borderId="185" xfId="0" applyFont="1" applyFill="1" applyBorder="1"/>
    <xf numFmtId="3" fontId="34" fillId="2" borderId="185" xfId="0" applyNumberFormat="1" applyFont="1" applyFill="1" applyBorder="1"/>
    <xf numFmtId="3" fontId="34" fillId="2" borderId="263" xfId="0" applyNumberFormat="1" applyFont="1" applyFill="1" applyBorder="1"/>
    <xf numFmtId="0" fontId="24" fillId="2" borderId="185" xfId="0" applyFont="1" applyFill="1" applyBorder="1"/>
    <xf numFmtId="3" fontId="24" fillId="2" borderId="185" xfId="0" applyNumberFormat="1" applyFont="1" applyFill="1" applyBorder="1"/>
    <xf numFmtId="3" fontId="24" fillId="2" borderId="0" xfId="0" applyNumberFormat="1" applyFont="1" applyFill="1" applyBorder="1"/>
    <xf numFmtId="3" fontId="24" fillId="2" borderId="263" xfId="0" applyNumberFormat="1" applyFont="1" applyFill="1" applyBorder="1"/>
    <xf numFmtId="3" fontId="24" fillId="4" borderId="187" xfId="0" applyNumberFormat="1" applyFont="1" applyFill="1" applyBorder="1"/>
    <xf numFmtId="3" fontId="24" fillId="4" borderId="186" xfId="0" applyNumberFormat="1" applyFont="1" applyFill="1" applyBorder="1"/>
    <xf numFmtId="3" fontId="24" fillId="4" borderId="262" xfId="0" applyNumberFormat="1" applyFont="1" applyFill="1" applyBorder="1"/>
    <xf numFmtId="3" fontId="24" fillId="2" borderId="0" xfId="0" applyNumberFormat="1" applyFont="1" applyFill="1"/>
    <xf numFmtId="0" fontId="24" fillId="4" borderId="251" xfId="0" applyFont="1" applyFill="1" applyBorder="1"/>
    <xf numFmtId="0" fontId="24" fillId="4" borderId="252" xfId="0" applyFont="1" applyFill="1" applyBorder="1"/>
    <xf numFmtId="10" fontId="24" fillId="4" borderId="251" xfId="1" applyNumberFormat="1" applyFont="1" applyFill="1" applyBorder="1"/>
    <xf numFmtId="10" fontId="24" fillId="4" borderId="252" xfId="1" applyNumberFormat="1" applyFont="1" applyFill="1" applyBorder="1"/>
    <xf numFmtId="10" fontId="24" fillId="4" borderId="253" xfId="1" applyNumberFormat="1" applyFont="1" applyFill="1" applyBorder="1"/>
    <xf numFmtId="0" fontId="24" fillId="4" borderId="154" xfId="0" applyFont="1" applyFill="1" applyBorder="1"/>
    <xf numFmtId="0" fontId="24" fillId="4" borderId="153" xfId="0" applyFont="1" applyFill="1" applyBorder="1"/>
    <xf numFmtId="10" fontId="24" fillId="4" borderId="154" xfId="1" applyNumberFormat="1" applyFont="1" applyFill="1" applyBorder="1"/>
    <xf numFmtId="10" fontId="24" fillId="4" borderId="153" xfId="1" applyNumberFormat="1" applyFont="1" applyFill="1" applyBorder="1"/>
    <xf numFmtId="10" fontId="24" fillId="4" borderId="155" xfId="1" applyNumberFormat="1" applyFont="1" applyFill="1" applyBorder="1"/>
    <xf numFmtId="0" fontId="24" fillId="2" borderId="251" xfId="0" applyFont="1" applyFill="1" applyBorder="1"/>
    <xf numFmtId="0" fontId="24" fillId="2" borderId="252" xfId="0" applyFont="1" applyFill="1" applyBorder="1"/>
    <xf numFmtId="3" fontId="24" fillId="2" borderId="251" xfId="1" applyNumberFormat="1" applyFont="1" applyFill="1" applyBorder="1"/>
    <xf numFmtId="3" fontId="24" fillId="2" borderId="252" xfId="1" applyNumberFormat="1" applyFont="1" applyFill="1" applyBorder="1"/>
    <xf numFmtId="3" fontId="24" fillId="2" borderId="253" xfId="1" applyNumberFormat="1" applyFont="1" applyFill="1" applyBorder="1"/>
    <xf numFmtId="0" fontId="24" fillId="2" borderId="154" xfId="0" applyFont="1" applyFill="1" applyBorder="1"/>
    <xf numFmtId="0" fontId="24" fillId="2" borderId="153" xfId="0" applyFont="1" applyFill="1" applyBorder="1"/>
    <xf numFmtId="3" fontId="24" fillId="2" borderId="154" xfId="1" applyNumberFormat="1" applyFont="1" applyFill="1" applyBorder="1"/>
    <xf numFmtId="3" fontId="24" fillId="2" borderId="153" xfId="1" applyNumberFormat="1" applyFont="1" applyFill="1" applyBorder="1"/>
    <xf numFmtId="3" fontId="24" fillId="2" borderId="155" xfId="1" applyNumberFormat="1" applyFont="1" applyFill="1" applyBorder="1"/>
    <xf numFmtId="3" fontId="24" fillId="4" borderId="153" xfId="1" applyNumberFormat="1" applyFont="1" applyFill="1" applyBorder="1"/>
    <xf numFmtId="3" fontId="24" fillId="4" borderId="155" xfId="1" applyNumberFormat="1" applyFont="1" applyFill="1" applyBorder="1"/>
    <xf numFmtId="0" fontId="113" fillId="2" borderId="0" xfId="0" applyFont="1" applyFill="1"/>
    <xf numFmtId="0" fontId="63" fillId="5" borderId="118" xfId="0" applyFont="1" applyFill="1" applyBorder="1"/>
    <xf numFmtId="0" fontId="24" fillId="4" borderId="130" xfId="0" applyFont="1" applyFill="1" applyBorder="1"/>
    <xf numFmtId="0" fontId="24" fillId="4" borderId="130" xfId="0" applyFont="1" applyFill="1" applyBorder="1" applyAlignment="1">
      <alignment horizontal="center"/>
    </xf>
    <xf numFmtId="3" fontId="34" fillId="2" borderId="130" xfId="0" applyNumberFormat="1" applyFont="1" applyFill="1" applyBorder="1" applyAlignment="1">
      <alignment horizontal="center"/>
    </xf>
    <xf numFmtId="3" fontId="34" fillId="2" borderId="150" xfId="0" applyNumberFormat="1" applyFont="1" applyFill="1" applyBorder="1" applyAlignment="1">
      <alignment horizontal="center"/>
    </xf>
    <xf numFmtId="4" fontId="24" fillId="2" borderId="130" xfId="2" applyNumberFormat="1" applyFont="1" applyFill="1" applyBorder="1" applyAlignment="1">
      <alignment horizontal="center"/>
    </xf>
    <xf numFmtId="4" fontId="24" fillId="2" borderId="150" xfId="2" applyNumberFormat="1" applyFont="1" applyFill="1" applyBorder="1" applyAlignment="1">
      <alignment horizontal="center"/>
    </xf>
    <xf numFmtId="0" fontId="24" fillId="4" borderId="150" xfId="0" applyFont="1" applyFill="1" applyBorder="1" applyAlignment="1">
      <alignment horizontal="center"/>
    </xf>
    <xf numFmtId="0" fontId="24" fillId="4" borderId="335" xfId="0" applyFont="1" applyFill="1" applyBorder="1" applyAlignment="1">
      <alignment horizontal="center"/>
    </xf>
    <xf numFmtId="3" fontId="34" fillId="2" borderId="335" xfId="0" applyNumberFormat="1" applyFont="1" applyFill="1" applyBorder="1" applyAlignment="1">
      <alignment horizontal="center"/>
    </xf>
    <xf numFmtId="4" fontId="24" fillId="2" borderId="335" xfId="2" applyNumberFormat="1" applyFont="1" applyFill="1" applyBorder="1" applyAlignment="1">
      <alignment horizontal="center"/>
    </xf>
    <xf numFmtId="0" fontId="34" fillId="2" borderId="130" xfId="0" applyFont="1" applyFill="1" applyBorder="1"/>
    <xf numFmtId="0" fontId="24" fillId="2" borderId="130" xfId="0" applyFont="1" applyFill="1" applyBorder="1"/>
    <xf numFmtId="3" fontId="27" fillId="2" borderId="0" xfId="0" applyNumberFormat="1" applyFont="1" applyFill="1"/>
    <xf numFmtId="0" fontId="11" fillId="2" borderId="0" xfId="0" applyFont="1" applyFill="1"/>
    <xf numFmtId="3" fontId="27" fillId="2" borderId="161" xfId="0" applyNumberFormat="1" applyFont="1" applyFill="1" applyBorder="1"/>
    <xf numFmtId="3" fontId="27" fillId="2" borderId="162" xfId="0" applyNumberFormat="1" applyFont="1" applyFill="1" applyBorder="1"/>
    <xf numFmtId="3" fontId="27" fillId="2" borderId="163" xfId="0" applyNumberFormat="1" applyFont="1" applyFill="1" applyBorder="1"/>
    <xf numFmtId="3" fontId="27" fillId="2" borderId="120" xfId="0" applyNumberFormat="1" applyFont="1" applyFill="1" applyBorder="1"/>
    <xf numFmtId="3" fontId="27" fillId="2" borderId="0" xfId="0" applyNumberFormat="1" applyFont="1" applyFill="1" applyBorder="1"/>
    <xf numFmtId="3" fontId="27" fillId="2" borderId="164" xfId="0" applyNumberFormat="1" applyFont="1" applyFill="1" applyBorder="1"/>
    <xf numFmtId="0" fontId="63" fillId="5" borderId="157" xfId="0" applyFont="1" applyFill="1" applyBorder="1"/>
    <xf numFmtId="0" fontId="15" fillId="5" borderId="157" xfId="0" applyFont="1" applyFill="1" applyBorder="1" applyAlignment="1">
      <alignment horizontal="right"/>
    </xf>
    <xf numFmtId="3" fontId="15" fillId="5" borderId="157" xfId="0" applyNumberFormat="1" applyFont="1" applyFill="1" applyBorder="1" applyAlignment="1">
      <alignment horizontal="right"/>
    </xf>
    <xf numFmtId="0" fontId="17" fillId="25" borderId="118" xfId="0" applyFont="1" applyFill="1" applyBorder="1" applyAlignment="1">
      <alignment horizontal="center" vertical="center"/>
    </xf>
    <xf numFmtId="3" fontId="34" fillId="2" borderId="0" xfId="0" applyNumberFormat="1" applyFont="1" applyFill="1" applyAlignment="1">
      <alignment horizontal="right"/>
    </xf>
    <xf numFmtId="1" fontId="34" fillId="2" borderId="0" xfId="0" applyNumberFormat="1" applyFont="1" applyFill="1" applyAlignment="1">
      <alignment horizontal="right"/>
    </xf>
    <xf numFmtId="0" fontId="114" fillId="5" borderId="157" xfId="0" applyFont="1" applyFill="1" applyBorder="1"/>
    <xf numFmtId="0" fontId="18" fillId="5" borderId="157" xfId="0" applyFont="1" applyFill="1" applyBorder="1" applyAlignment="1">
      <alignment horizontal="right"/>
    </xf>
    <xf numFmtId="3" fontId="18" fillId="5" borderId="157" xfId="0" applyNumberFormat="1" applyFont="1" applyFill="1" applyBorder="1" applyAlignment="1">
      <alignment horizontal="right"/>
    </xf>
    <xf numFmtId="0" fontId="115" fillId="5" borderId="156" xfId="0" applyFont="1" applyFill="1" applyBorder="1"/>
    <xf numFmtId="0" fontId="26" fillId="5" borderId="156" xfId="0" applyFont="1" applyFill="1" applyBorder="1"/>
    <xf numFmtId="3" fontId="29" fillId="5" borderId="156" xfId="0" applyNumberFormat="1" applyFont="1" applyFill="1" applyBorder="1"/>
    <xf numFmtId="3" fontId="12" fillId="2" borderId="252" xfId="0" applyNumberFormat="1" applyFont="1" applyFill="1" applyBorder="1"/>
    <xf numFmtId="0" fontId="29" fillId="5" borderId="0" xfId="0" applyFont="1" applyFill="1"/>
    <xf numFmtId="170" fontId="29" fillId="5" borderId="0" xfId="0" applyNumberFormat="1" applyFont="1" applyFill="1"/>
    <xf numFmtId="0" fontId="63" fillId="5" borderId="0" xfId="0" applyFont="1" applyFill="1"/>
    <xf numFmtId="3" fontId="63" fillId="5" borderId="0" xfId="0" applyNumberFormat="1" applyFont="1" applyFill="1"/>
    <xf numFmtId="0" fontId="17" fillId="25" borderId="153" xfId="0" applyFont="1" applyFill="1" applyBorder="1" applyAlignment="1">
      <alignment horizontal="center" vertical="center"/>
    </xf>
    <xf numFmtId="3" fontId="14" fillId="2" borderId="0" xfId="0" applyNumberFormat="1" applyFont="1" applyFill="1"/>
    <xf numFmtId="0" fontId="17" fillId="25" borderId="336" xfId="0" applyFont="1" applyFill="1" applyBorder="1" applyAlignment="1">
      <alignment horizontal="center" vertical="center"/>
    </xf>
    <xf numFmtId="0" fontId="15" fillId="5" borderId="337" xfId="0" applyFont="1" applyFill="1" applyBorder="1"/>
    <xf numFmtId="3" fontId="15" fillId="5" borderId="338" xfId="0" applyNumberFormat="1" applyFont="1" applyFill="1" applyBorder="1" applyAlignment="1">
      <alignment horizontal="right"/>
    </xf>
    <xf numFmtId="0" fontId="27" fillId="2" borderId="254" xfId="0" applyFont="1" applyFill="1" applyBorder="1"/>
    <xf numFmtId="3" fontId="27" fillId="2" borderId="0" xfId="0" applyNumberFormat="1" applyFont="1" applyFill="1" applyBorder="1" applyAlignment="1">
      <alignment horizontal="right"/>
    </xf>
    <xf numFmtId="3" fontId="27" fillId="2" borderId="255" xfId="0" applyNumberFormat="1" applyFont="1" applyFill="1" applyBorder="1" applyAlignment="1">
      <alignment horizontal="right"/>
    </xf>
    <xf numFmtId="0" fontId="12" fillId="2" borderId="254" xfId="0" applyFont="1" applyFill="1" applyBorder="1"/>
    <xf numFmtId="1" fontId="12" fillId="2" borderId="255" xfId="0" applyNumberFormat="1" applyFont="1" applyFill="1" applyBorder="1" applyAlignment="1">
      <alignment horizontal="right"/>
    </xf>
    <xf numFmtId="0" fontId="12" fillId="2" borderId="337" xfId="0" applyFont="1" applyFill="1" applyBorder="1"/>
    <xf numFmtId="3" fontId="12" fillId="2" borderId="338" xfId="0" applyNumberFormat="1" applyFont="1" applyFill="1" applyBorder="1" applyAlignment="1">
      <alignment horizontal="right"/>
    </xf>
    <xf numFmtId="0" fontId="15" fillId="28" borderId="274" xfId="0" applyFont="1" applyFill="1" applyBorder="1"/>
    <xf numFmtId="3" fontId="15" fillId="28" borderId="275" xfId="0" applyNumberFormat="1" applyFont="1" applyFill="1" applyBorder="1" applyAlignment="1">
      <alignment horizontal="right"/>
    </xf>
    <xf numFmtId="3" fontId="15" fillId="28" borderId="276" xfId="0" applyNumberFormat="1" applyFont="1" applyFill="1" applyBorder="1" applyAlignment="1">
      <alignment horizontal="right"/>
    </xf>
    <xf numFmtId="0" fontId="15" fillId="5" borderId="312" xfId="0" applyFont="1" applyFill="1" applyBorder="1"/>
    <xf numFmtId="3" fontId="15" fillId="5" borderId="339" xfId="0" applyNumberFormat="1" applyFont="1" applyFill="1" applyBorder="1" applyAlignment="1">
      <alignment horizontal="right"/>
    </xf>
    <xf numFmtId="3" fontId="15" fillId="5" borderId="340" xfId="0" applyNumberFormat="1" applyFont="1" applyFill="1" applyBorder="1" applyAlignment="1">
      <alignment horizontal="right"/>
    </xf>
    <xf numFmtId="1" fontId="27" fillId="2" borderId="255" xfId="0" applyNumberFormat="1" applyFont="1" applyFill="1" applyBorder="1" applyAlignment="1">
      <alignment horizontal="right"/>
    </xf>
    <xf numFmtId="3" fontId="12" fillId="4" borderId="0" xfId="0" applyNumberFormat="1" applyFont="1" applyFill="1" applyBorder="1" applyAlignment="1">
      <alignment horizontal="right"/>
    </xf>
    <xf numFmtId="3" fontId="12" fillId="4" borderId="255" xfId="0" applyNumberFormat="1" applyFont="1" applyFill="1" applyBorder="1" applyAlignment="1">
      <alignment horizontal="right"/>
    </xf>
    <xf numFmtId="0" fontId="15" fillId="2" borderId="254" xfId="0" applyFont="1" applyFill="1" applyBorder="1"/>
    <xf numFmtId="3" fontId="15" fillId="2" borderId="255" xfId="0" applyNumberFormat="1" applyFont="1" applyFill="1" applyBorder="1" applyAlignment="1">
      <alignment horizontal="right"/>
    </xf>
    <xf numFmtId="0" fontId="63" fillId="5" borderId="186" xfId="0" applyFont="1" applyFill="1" applyBorder="1"/>
    <xf numFmtId="0" fontId="12" fillId="5" borderId="186" xfId="0" applyFont="1" applyFill="1" applyBorder="1"/>
    <xf numFmtId="0" fontId="40" fillId="31" borderId="0" xfId="0" applyFont="1" applyFill="1" applyProtection="1"/>
    <xf numFmtId="0" fontId="40" fillId="0" borderId="0" xfId="0" applyFont="1" applyProtection="1"/>
    <xf numFmtId="0" fontId="12" fillId="2" borderId="0" xfId="0" applyFont="1" applyFill="1" applyProtection="1"/>
    <xf numFmtId="0" fontId="35" fillId="2" borderId="0" xfId="0" applyFont="1" applyFill="1" applyProtection="1"/>
    <xf numFmtId="0" fontId="117" fillId="2" borderId="0" xfId="0" applyFont="1" applyFill="1" applyProtection="1"/>
    <xf numFmtId="0" fontId="12" fillId="2" borderId="0" xfId="0" applyFont="1" applyFill="1" applyAlignment="1" applyProtection="1">
      <alignment horizontal="center"/>
    </xf>
    <xf numFmtId="183" fontId="35" fillId="2" borderId="0" xfId="0" applyNumberFormat="1" applyFont="1" applyFill="1" applyProtection="1"/>
    <xf numFmtId="0" fontId="39" fillId="2" borderId="0" xfId="0" quotePrefix="1" applyFont="1" applyFill="1" applyBorder="1" applyAlignment="1" applyProtection="1">
      <alignment horizontal="center" wrapText="1"/>
    </xf>
    <xf numFmtId="0" fontId="12" fillId="2" borderId="0" xfId="0" applyFont="1" applyFill="1" applyAlignment="1" applyProtection="1">
      <alignment vertical="center" wrapText="1"/>
    </xf>
    <xf numFmtId="166" fontId="35" fillId="2" borderId="0" xfId="2" applyFont="1" applyFill="1" applyBorder="1" applyProtection="1"/>
    <xf numFmtId="166" fontId="35" fillId="2" borderId="0" xfId="2" applyFont="1" applyFill="1" applyProtection="1"/>
    <xf numFmtId="0" fontId="32" fillId="2" borderId="0" xfId="0" applyFont="1" applyFill="1" applyAlignment="1" applyProtection="1">
      <alignment horizontal="left"/>
    </xf>
    <xf numFmtId="184" fontId="33" fillId="2" borderId="0" xfId="0" applyNumberFormat="1" applyFont="1" applyFill="1" applyProtection="1"/>
    <xf numFmtId="0" fontId="33" fillId="2" borderId="0" xfId="0" applyFont="1" applyFill="1" applyProtection="1"/>
    <xf numFmtId="0" fontId="32" fillId="2" borderId="0" xfId="0" applyFont="1" applyFill="1" applyAlignment="1" applyProtection="1">
      <alignment horizontal="right"/>
    </xf>
    <xf numFmtId="0" fontId="35" fillId="2" borderId="0" xfId="0" quotePrefix="1" applyFont="1" applyFill="1" applyAlignment="1" applyProtection="1">
      <alignment horizontal="left"/>
    </xf>
    <xf numFmtId="166" fontId="80" fillId="2" borderId="0" xfId="2" applyFont="1" applyFill="1" applyAlignment="1" applyProtection="1">
      <alignment horizontal="right"/>
    </xf>
    <xf numFmtId="2" fontId="32" fillId="2" borderId="0" xfId="0" applyNumberFormat="1" applyFont="1" applyFill="1" applyAlignment="1" applyProtection="1">
      <alignment horizontal="right"/>
    </xf>
    <xf numFmtId="0" fontId="12" fillId="2" borderId="0" xfId="0" applyFont="1" applyFill="1" applyAlignment="1" applyProtection="1">
      <alignment wrapText="1"/>
    </xf>
    <xf numFmtId="0" fontId="80" fillId="2" borderId="0" xfId="0" applyFont="1" applyFill="1" applyProtection="1"/>
    <xf numFmtId="183" fontId="79" fillId="2" borderId="0" xfId="0" applyNumberFormat="1" applyFont="1" applyFill="1" applyAlignment="1" applyProtection="1">
      <alignment vertical="top"/>
    </xf>
    <xf numFmtId="0" fontId="69" fillId="2" borderId="0" xfId="0" applyFont="1" applyFill="1" applyAlignment="1" applyProtection="1">
      <alignment horizontal="left"/>
    </xf>
    <xf numFmtId="0" fontId="35" fillId="2" borderId="0" xfId="0" applyFont="1" applyFill="1" applyAlignment="1" applyProtection="1">
      <alignment horizontal="left" vertical="center" wrapText="1"/>
    </xf>
    <xf numFmtId="0" fontId="69" fillId="2" borderId="0" xfId="0" applyFont="1" applyFill="1" applyProtection="1"/>
    <xf numFmtId="3" fontId="12" fillId="6" borderId="130" xfId="0" applyNumberFormat="1" applyFont="1" applyFill="1" applyBorder="1" applyAlignment="1">
      <alignment horizontal="center"/>
    </xf>
    <xf numFmtId="1" fontId="15" fillId="6" borderId="328" xfId="0" applyNumberFormat="1" applyFont="1" applyFill="1" applyBorder="1" applyAlignment="1">
      <alignment horizontal="center"/>
    </xf>
    <xf numFmtId="1" fontId="15" fillId="6" borderId="327" xfId="0" applyNumberFormat="1" applyFont="1" applyFill="1" applyBorder="1" applyAlignment="1">
      <alignment horizontal="center"/>
    </xf>
    <xf numFmtId="0" fontId="24" fillId="10" borderId="341" xfId="0" applyFont="1" applyFill="1" applyBorder="1" applyAlignment="1"/>
    <xf numFmtId="3" fontId="12" fillId="6" borderId="342" xfId="0" applyNumberFormat="1" applyFont="1" applyFill="1" applyBorder="1" applyAlignment="1">
      <alignment horizontal="center"/>
    </xf>
    <xf numFmtId="3" fontId="12" fillId="6" borderId="343" xfId="0" applyNumberFormat="1" applyFont="1" applyFill="1" applyBorder="1" applyAlignment="1">
      <alignment horizontal="center"/>
    </xf>
    <xf numFmtId="3" fontId="12" fillId="6" borderId="330" xfId="0" applyNumberFormat="1" applyFont="1" applyFill="1" applyBorder="1" applyAlignment="1">
      <alignment horizontal="center"/>
    </xf>
    <xf numFmtId="3" fontId="12" fillId="6" borderId="333" xfId="0" applyNumberFormat="1" applyFont="1" applyFill="1" applyBorder="1" applyAlignment="1">
      <alignment horizontal="center"/>
    </xf>
    <xf numFmtId="3" fontId="12" fillId="6" borderId="334" xfId="0" applyNumberFormat="1" applyFont="1" applyFill="1" applyBorder="1" applyAlignment="1">
      <alignment horizontal="center"/>
    </xf>
    <xf numFmtId="0" fontId="12" fillId="2" borderId="0" xfId="0" applyFont="1" applyFill="1" applyAlignment="1" applyProtection="1">
      <alignment horizontal="center" vertical="center"/>
    </xf>
    <xf numFmtId="0" fontId="24" fillId="10" borderId="344" xfId="0" applyFont="1" applyFill="1" applyBorder="1" applyAlignment="1"/>
    <xf numFmtId="0" fontId="12" fillId="6" borderId="345" xfId="0" applyFont="1" applyFill="1" applyBorder="1" applyAlignment="1">
      <alignment horizontal="center"/>
    </xf>
    <xf numFmtId="0" fontId="40" fillId="2" borderId="0" xfId="0" applyFont="1" applyFill="1" applyAlignment="1" applyProtection="1">
      <alignment horizontal="center"/>
    </xf>
    <xf numFmtId="0" fontId="69" fillId="2" borderId="0" xfId="0" applyFont="1" applyFill="1" applyAlignment="1" applyProtection="1">
      <alignment horizontal="center"/>
    </xf>
    <xf numFmtId="0" fontId="33" fillId="2" borderId="0" xfId="0" applyFont="1" applyFill="1" applyAlignment="1" applyProtection="1">
      <alignment horizontal="center"/>
    </xf>
    <xf numFmtId="0" fontId="35" fillId="2" borderId="0" xfId="0" applyFont="1" applyFill="1" applyAlignment="1" applyProtection="1">
      <alignment horizontal="center"/>
    </xf>
    <xf numFmtId="166" fontId="80" fillId="2" borderId="0" xfId="2" applyFont="1" applyFill="1" applyAlignment="1" applyProtection="1">
      <alignment horizontal="center"/>
    </xf>
    <xf numFmtId="2" fontId="32" fillId="2" borderId="0" xfId="0" applyNumberFormat="1" applyFont="1" applyFill="1" applyAlignment="1" applyProtection="1">
      <alignment horizontal="center"/>
    </xf>
    <xf numFmtId="0" fontId="79" fillId="2" borderId="0" xfId="0" applyFont="1" applyFill="1" applyAlignment="1" applyProtection="1">
      <alignment horizontal="center" vertical="top"/>
    </xf>
    <xf numFmtId="0" fontId="80" fillId="2" borderId="0" xfId="0" applyFont="1" applyFill="1" applyAlignment="1" applyProtection="1">
      <alignment horizontal="center"/>
    </xf>
    <xf numFmtId="0" fontId="37" fillId="25" borderId="0" xfId="0" applyFont="1" applyFill="1" applyAlignment="1">
      <alignment horizontal="center"/>
    </xf>
    <xf numFmtId="0" fontId="25" fillId="15" borderId="134" xfId="3" applyFont="1" applyFill="1" applyBorder="1" applyAlignment="1">
      <alignment horizontal="center"/>
    </xf>
    <xf numFmtId="0" fontId="25" fillId="15" borderId="346" xfId="3" applyFont="1" applyFill="1" applyBorder="1" applyAlignment="1">
      <alignment horizontal="center"/>
    </xf>
    <xf numFmtId="0" fontId="36" fillId="9" borderId="192" xfId="0" applyFont="1" applyFill="1" applyBorder="1" applyAlignment="1">
      <alignment horizontal="center"/>
    </xf>
    <xf numFmtId="0" fontId="34" fillId="4" borderId="348" xfId="0" applyFont="1" applyFill="1" applyBorder="1"/>
    <xf numFmtId="0" fontId="34" fillId="4" borderId="349" xfId="0" applyFont="1" applyFill="1" applyBorder="1"/>
    <xf numFmtId="0" fontId="36" fillId="9" borderId="160" xfId="0" applyFont="1" applyFill="1" applyBorder="1" applyAlignment="1">
      <alignment horizontal="center"/>
    </xf>
    <xf numFmtId="178" fontId="24" fillId="5" borderId="351" xfId="2" applyNumberFormat="1" applyFont="1" applyFill="1" applyBorder="1" applyAlignment="1" applyProtection="1">
      <alignment horizontal="center" vertical="center"/>
    </xf>
    <xf numFmtId="0" fontId="36" fillId="9" borderId="350" xfId="0" applyFont="1" applyFill="1" applyBorder="1" applyAlignment="1">
      <alignment horizontal="center"/>
    </xf>
    <xf numFmtId="0" fontId="121" fillId="2" borderId="0" xfId="0" applyFont="1" applyFill="1"/>
    <xf numFmtId="0" fontId="64" fillId="25" borderId="0" xfId="0" applyFont="1" applyFill="1" applyAlignment="1">
      <alignment horizontal="right"/>
    </xf>
    <xf numFmtId="0" fontId="63" fillId="5" borderId="118" xfId="0" applyFont="1" applyFill="1" applyBorder="1" applyAlignment="1">
      <alignment horizontal="right"/>
    </xf>
    <xf numFmtId="0" fontId="64" fillId="5" borderId="118" xfId="0" applyFont="1" applyFill="1" applyBorder="1" applyAlignment="1">
      <alignment horizontal="right"/>
    </xf>
    <xf numFmtId="0" fontId="27" fillId="2" borderId="0" xfId="0" applyFont="1" applyFill="1" applyAlignment="1">
      <alignment horizontal="right"/>
    </xf>
    <xf numFmtId="0" fontId="122" fillId="2" borderId="0" xfId="0" applyFont="1" applyFill="1"/>
    <xf numFmtId="0" fontId="8" fillId="4" borderId="127" xfId="0" applyFont="1" applyFill="1" applyBorder="1" applyAlignment="1">
      <alignment horizontal="center" vertical="center"/>
    </xf>
    <xf numFmtId="0" fontId="8" fillId="4" borderId="2" xfId="0" applyFont="1" applyFill="1" applyBorder="1" applyAlignment="1">
      <alignment horizontal="center" vertical="center"/>
    </xf>
    <xf numFmtId="0" fontId="8" fillId="4" borderId="2" xfId="0" applyFont="1" applyFill="1" applyBorder="1"/>
    <xf numFmtId="0" fontId="8" fillId="4" borderId="126" xfId="0" applyFont="1" applyFill="1" applyBorder="1" applyAlignment="1">
      <alignment horizontal="center"/>
    </xf>
    <xf numFmtId="0" fontId="7" fillId="3" borderId="9" xfId="0" applyFont="1" applyFill="1" applyBorder="1" applyAlignment="1">
      <alignment horizontal="center"/>
    </xf>
    <xf numFmtId="0" fontId="7" fillId="3" borderId="33" xfId="0" applyFont="1" applyFill="1" applyBorder="1" applyAlignment="1">
      <alignment horizontal="center"/>
    </xf>
    <xf numFmtId="2" fontId="7" fillId="2" borderId="0" xfId="0" applyNumberFormat="1" applyFont="1" applyFill="1" applyBorder="1" applyAlignment="1">
      <alignment horizontal="center"/>
    </xf>
    <xf numFmtId="2" fontId="7" fillId="2" borderId="5" xfId="0" applyNumberFormat="1" applyFont="1" applyFill="1" applyBorder="1" applyAlignment="1">
      <alignment horizontal="center"/>
    </xf>
    <xf numFmtId="4" fontId="12" fillId="7" borderId="21" xfId="2" applyNumberFormat="1" applyFont="1" applyFill="1" applyBorder="1" applyAlignment="1">
      <alignment horizontal="center"/>
    </xf>
    <xf numFmtId="4" fontId="12" fillId="7" borderId="22" xfId="2" applyNumberFormat="1" applyFont="1" applyFill="1" applyBorder="1" applyAlignment="1">
      <alignment horizontal="center"/>
    </xf>
    <xf numFmtId="4" fontId="12" fillId="7" borderId="37" xfId="2" applyNumberFormat="1" applyFont="1" applyFill="1" applyBorder="1" applyAlignment="1">
      <alignment horizontal="center"/>
    </xf>
    <xf numFmtId="4" fontId="12" fillId="7" borderId="6" xfId="1" applyNumberFormat="1" applyFont="1" applyFill="1" applyBorder="1" applyAlignment="1">
      <alignment horizontal="right"/>
    </xf>
    <xf numFmtId="4" fontId="12" fillId="7" borderId="32" xfId="1" applyNumberFormat="1" applyFont="1" applyFill="1" applyBorder="1" applyAlignment="1">
      <alignment horizontal="right"/>
    </xf>
    <xf numFmtId="4" fontId="12" fillId="7" borderId="0" xfId="1" applyNumberFormat="1" applyFont="1" applyFill="1" applyBorder="1" applyAlignment="1">
      <alignment horizontal="right"/>
    </xf>
    <xf numFmtId="4" fontId="12" fillId="7" borderId="5" xfId="1" applyNumberFormat="1" applyFont="1" applyFill="1" applyBorder="1" applyAlignment="1">
      <alignment horizontal="right"/>
    </xf>
    <xf numFmtId="4" fontId="12" fillId="7" borderId="34" xfId="1" applyNumberFormat="1" applyFont="1" applyFill="1" applyBorder="1" applyAlignment="1">
      <alignment horizontal="right"/>
    </xf>
    <xf numFmtId="1" fontId="15" fillId="7" borderId="10" xfId="0" applyNumberFormat="1" applyFont="1" applyFill="1" applyBorder="1" applyAlignment="1">
      <alignment horizontal="right"/>
    </xf>
    <xf numFmtId="1" fontId="15" fillId="7" borderId="3" xfId="0" applyNumberFormat="1" applyFont="1" applyFill="1" applyBorder="1" applyAlignment="1">
      <alignment horizontal="right"/>
    </xf>
    <xf numFmtId="1" fontId="15" fillId="7" borderId="31" xfId="0" applyNumberFormat="1" applyFont="1" applyFill="1" applyBorder="1" applyAlignment="1">
      <alignment horizontal="right"/>
    </xf>
    <xf numFmtId="0" fontId="7" fillId="7" borderId="0" xfId="0" applyFont="1" applyFill="1" applyBorder="1" applyAlignment="1">
      <alignment horizontal="center"/>
    </xf>
    <xf numFmtId="0" fontId="7" fillId="7" borderId="5" xfId="0" applyFont="1" applyFill="1" applyBorder="1" applyAlignment="1">
      <alignment horizontal="center"/>
    </xf>
    <xf numFmtId="4" fontId="12" fillId="2" borderId="4" xfId="0" applyNumberFormat="1" applyFont="1" applyFill="1" applyBorder="1"/>
    <xf numFmtId="4" fontId="12" fillId="2" borderId="36" xfId="0" applyNumberFormat="1" applyFont="1" applyFill="1" applyBorder="1"/>
    <xf numFmtId="4" fontId="35" fillId="5" borderId="0" xfId="2" applyNumberFormat="1" applyFont="1" applyFill="1" applyAlignment="1" applyProtection="1">
      <alignment horizontal="center" vertical="center"/>
    </xf>
    <xf numFmtId="4" fontId="14" fillId="5" borderId="0" xfId="0" applyNumberFormat="1" applyFont="1" applyFill="1" applyAlignment="1" applyProtection="1">
      <alignment horizontal="center" vertical="center"/>
    </xf>
    <xf numFmtId="1" fontId="39" fillId="5" borderId="30" xfId="0" quotePrefix="1" applyNumberFormat="1" applyFont="1" applyFill="1" applyBorder="1" applyAlignment="1" applyProtection="1">
      <alignment horizontal="center" wrapText="1"/>
    </xf>
    <xf numFmtId="0" fontId="8" fillId="4" borderId="352" xfId="0" applyFont="1" applyFill="1" applyBorder="1" applyAlignment="1">
      <alignment horizontal="center"/>
    </xf>
    <xf numFmtId="0" fontId="7" fillId="4" borderId="352" xfId="0" applyFont="1" applyFill="1" applyBorder="1"/>
    <xf numFmtId="0" fontId="8" fillId="4" borderId="353" xfId="0" applyFont="1" applyFill="1" applyBorder="1" applyAlignment="1">
      <alignment horizontal="center"/>
    </xf>
    <xf numFmtId="3" fontId="7" fillId="2" borderId="354" xfId="0" applyNumberFormat="1" applyFont="1" applyFill="1" applyBorder="1" applyAlignment="1">
      <alignment horizontal="center"/>
    </xf>
    <xf numFmtId="9" fontId="7" fillId="2" borderId="354" xfId="0" applyNumberFormat="1" applyFont="1" applyFill="1" applyBorder="1" applyAlignment="1">
      <alignment horizontal="center"/>
    </xf>
    <xf numFmtId="2" fontId="8" fillId="4" borderId="345" xfId="0" applyNumberFormat="1" applyFont="1" applyFill="1" applyBorder="1" applyAlignment="1">
      <alignment horizontal="center"/>
    </xf>
    <xf numFmtId="0" fontId="12" fillId="3" borderId="0" xfId="0" applyFont="1" applyFill="1"/>
    <xf numFmtId="0" fontId="12" fillId="4" borderId="173" xfId="0" applyFont="1" applyFill="1" applyBorder="1"/>
    <xf numFmtId="0" fontId="12" fillId="4" borderId="0" xfId="0" applyFont="1" applyFill="1" applyBorder="1"/>
    <xf numFmtId="0" fontId="12" fillId="4" borderId="174" xfId="0" applyFont="1" applyFill="1" applyBorder="1"/>
    <xf numFmtId="10" fontId="12" fillId="4" borderId="0" xfId="0" applyNumberFormat="1" applyFont="1" applyFill="1" applyBorder="1" applyAlignment="1">
      <alignment horizontal="right"/>
    </xf>
    <xf numFmtId="0" fontId="12" fillId="2" borderId="157" xfId="0" applyFont="1" applyFill="1" applyBorder="1"/>
    <xf numFmtId="0" fontId="12" fillId="2" borderId="355" xfId="0" applyFont="1" applyFill="1" applyBorder="1"/>
    <xf numFmtId="0" fontId="12" fillId="2" borderId="356" xfId="0" applyFont="1" applyFill="1" applyBorder="1"/>
    <xf numFmtId="10" fontId="12" fillId="6" borderId="157" xfId="0" applyNumberFormat="1" applyFont="1" applyFill="1" applyBorder="1" applyAlignment="1">
      <alignment horizontal="right"/>
    </xf>
    <xf numFmtId="0" fontId="124" fillId="2" borderId="0" xfId="8" applyFont="1" applyFill="1"/>
    <xf numFmtId="0" fontId="63" fillId="2" borderId="0" xfId="0" applyFont="1" applyFill="1" applyBorder="1" applyAlignment="1">
      <alignment horizontal="right"/>
    </xf>
    <xf numFmtId="0" fontId="64" fillId="2" borderId="0" xfId="0" applyFont="1" applyFill="1" applyBorder="1" applyAlignment="1">
      <alignment horizontal="right"/>
    </xf>
    <xf numFmtId="0" fontId="12" fillId="4" borderId="4" xfId="0" applyFont="1" applyFill="1" applyBorder="1" applyAlignment="1">
      <alignment horizontal="center"/>
    </xf>
    <xf numFmtId="0" fontId="63" fillId="4" borderId="35" xfId="0" applyFont="1" applyFill="1" applyBorder="1"/>
    <xf numFmtId="0" fontId="64" fillId="2" borderId="0" xfId="0" applyFont="1" applyFill="1" applyAlignment="1">
      <alignment horizontal="justify" vertical="center"/>
    </xf>
    <xf numFmtId="0" fontId="63" fillId="5" borderId="0" xfId="0" applyFont="1" applyFill="1" applyAlignment="1">
      <alignment horizontal="right"/>
    </xf>
    <xf numFmtId="0" fontId="56" fillId="9" borderId="358" xfId="0" applyFont="1" applyFill="1" applyBorder="1" applyAlignment="1">
      <alignment horizontal="center"/>
    </xf>
    <xf numFmtId="0" fontId="56" fillId="9" borderId="359" xfId="0" applyFont="1" applyFill="1" applyBorder="1" applyAlignment="1">
      <alignment horizontal="center"/>
    </xf>
    <xf numFmtId="0" fontId="56" fillId="9" borderId="357" xfId="0" applyFont="1" applyFill="1" applyBorder="1" applyAlignment="1">
      <alignment horizontal="center"/>
    </xf>
    <xf numFmtId="0" fontId="12" fillId="9" borderId="0" xfId="0" applyFont="1" applyFill="1"/>
    <xf numFmtId="0" fontId="125" fillId="25" borderId="0" xfId="0" applyFont="1" applyFill="1" applyAlignment="1" applyProtection="1"/>
    <xf numFmtId="0" fontId="126" fillId="2" borderId="0" xfId="0" applyFont="1" applyFill="1"/>
    <xf numFmtId="0" fontId="127" fillId="2" borderId="0" xfId="8" applyFont="1" applyFill="1"/>
    <xf numFmtId="0" fontId="25" fillId="25" borderId="142" xfId="0" applyFont="1" applyFill="1" applyBorder="1"/>
    <xf numFmtId="0" fontId="62" fillId="25" borderId="360" xfId="0" applyFont="1" applyFill="1" applyBorder="1"/>
    <xf numFmtId="0" fontId="25" fillId="25" borderId="361" xfId="0" applyFont="1" applyFill="1" applyBorder="1"/>
    <xf numFmtId="0" fontId="17" fillId="25" borderId="362" xfId="0" applyFont="1" applyFill="1" applyBorder="1" applyAlignment="1">
      <alignment horizontal="center" vertical="center"/>
    </xf>
    <xf numFmtId="0" fontId="7" fillId="2" borderId="173" xfId="0" applyFont="1" applyFill="1" applyBorder="1"/>
    <xf numFmtId="0" fontId="7" fillId="2" borderId="174" xfId="0" applyFont="1" applyFill="1" applyBorder="1" applyAlignment="1">
      <alignment horizontal="right"/>
    </xf>
    <xf numFmtId="169" fontId="12" fillId="6" borderId="174" xfId="1" applyNumberFormat="1" applyFont="1" applyFill="1" applyBorder="1" applyAlignment="1">
      <alignment horizontal="right"/>
    </xf>
    <xf numFmtId="0" fontId="12" fillId="2" borderId="174" xfId="0" applyFont="1" applyFill="1" applyBorder="1" applyAlignment="1">
      <alignment horizontal="right"/>
    </xf>
    <xf numFmtId="2" fontId="12" fillId="6" borderId="174" xfId="1" applyNumberFormat="1" applyFont="1" applyFill="1" applyBorder="1" applyAlignment="1">
      <alignment horizontal="right"/>
    </xf>
    <xf numFmtId="169" fontId="12" fillId="6" borderId="176" xfId="1" applyNumberFormat="1" applyFont="1" applyFill="1" applyBorder="1" applyAlignment="1">
      <alignment horizontal="right"/>
    </xf>
    <xf numFmtId="0" fontId="7" fillId="2" borderId="174" xfId="0" applyFont="1" applyFill="1" applyBorder="1"/>
    <xf numFmtId="9" fontId="12" fillId="6" borderId="174" xfId="0" applyNumberFormat="1" applyFont="1" applyFill="1" applyBorder="1"/>
    <xf numFmtId="10" fontId="12" fillId="6" borderId="174" xfId="0" applyNumberFormat="1" applyFont="1" applyFill="1" applyBorder="1" applyAlignment="1">
      <alignment horizontal="right"/>
    </xf>
    <xf numFmtId="10" fontId="12" fillId="4" borderId="174" xfId="0" applyNumberFormat="1" applyFont="1" applyFill="1" applyBorder="1" applyAlignment="1">
      <alignment horizontal="right"/>
    </xf>
    <xf numFmtId="0" fontId="12" fillId="5" borderId="174" xfId="0" applyFont="1" applyFill="1" applyBorder="1" applyAlignment="1">
      <alignment horizontal="right"/>
    </xf>
    <xf numFmtId="10" fontId="12" fillId="6" borderId="356" xfId="0" applyNumberFormat="1" applyFont="1" applyFill="1" applyBorder="1" applyAlignment="1">
      <alignment horizontal="right"/>
    </xf>
    <xf numFmtId="0" fontId="123" fillId="2" borderId="0" xfId="8" applyFill="1"/>
    <xf numFmtId="0" fontId="64" fillId="5" borderId="0" xfId="0" applyFont="1" applyFill="1"/>
    <xf numFmtId="0" fontId="64" fillId="2" borderId="185" xfId="0" applyFont="1" applyFill="1" applyBorder="1"/>
    <xf numFmtId="0" fontId="12" fillId="2" borderId="263" xfId="0" applyFont="1" applyFill="1" applyBorder="1"/>
    <xf numFmtId="0" fontId="63" fillId="2" borderId="185" xfId="0" applyFont="1" applyFill="1" applyBorder="1"/>
    <xf numFmtId="0" fontId="63" fillId="2" borderId="263" xfId="0" applyFont="1" applyFill="1" applyBorder="1"/>
    <xf numFmtId="0" fontId="64" fillId="2" borderId="263" xfId="0" applyFont="1" applyFill="1" applyBorder="1"/>
    <xf numFmtId="0" fontId="63" fillId="2" borderId="363" xfId="0" applyFont="1" applyFill="1" applyBorder="1"/>
    <xf numFmtId="0" fontId="64" fillId="2" borderId="118" xfId="0" applyFont="1" applyFill="1" applyBorder="1"/>
    <xf numFmtId="0" fontId="64" fillId="2" borderId="264" xfId="0" applyFont="1" applyFill="1" applyBorder="1"/>
    <xf numFmtId="0" fontId="112" fillId="2" borderId="0" xfId="0" applyFont="1" applyFill="1" applyBorder="1"/>
    <xf numFmtId="0" fontId="56" fillId="25" borderId="187" xfId="0" applyFont="1" applyFill="1" applyBorder="1"/>
    <xf numFmtId="0" fontId="56" fillId="25" borderId="186" xfId="0" applyFont="1" applyFill="1" applyBorder="1"/>
    <xf numFmtId="0" fontId="17" fillId="25" borderId="186" xfId="0" applyFont="1" applyFill="1" applyBorder="1"/>
    <xf numFmtId="0" fontId="17" fillId="25" borderId="262" xfId="0" applyFont="1" applyFill="1" applyBorder="1"/>
    <xf numFmtId="0" fontId="128" fillId="25" borderId="0" xfId="0" applyFont="1" applyFill="1" applyAlignment="1" applyProtection="1">
      <alignment horizontal="right"/>
    </xf>
    <xf numFmtId="0" fontId="12" fillId="2" borderId="364" xfId="0" applyFont="1" applyFill="1" applyBorder="1"/>
    <xf numFmtId="0" fontId="12" fillId="2" borderId="364" xfId="0" applyFont="1" applyFill="1" applyBorder="1" applyAlignment="1">
      <alignment horizontal="right"/>
    </xf>
    <xf numFmtId="0" fontId="129" fillId="2" borderId="0" xfId="8" applyFont="1" applyFill="1"/>
    <xf numFmtId="166" fontId="7" fillId="2" borderId="35" xfId="2" applyFont="1" applyFill="1" applyBorder="1" applyAlignment="1">
      <alignment horizontal="center"/>
    </xf>
    <xf numFmtId="0" fontId="7" fillId="32" borderId="30" xfId="0" applyFont="1" applyFill="1" applyBorder="1" applyAlignment="1">
      <alignment horizontal="right"/>
    </xf>
    <xf numFmtId="169" fontId="7" fillId="32" borderId="30" xfId="1" applyNumberFormat="1" applyFont="1" applyFill="1" applyBorder="1" applyAlignment="1">
      <alignment horizontal="right"/>
    </xf>
    <xf numFmtId="3" fontId="34" fillId="33" borderId="52" xfId="0" applyNumberFormat="1" applyFont="1" applyFill="1" applyBorder="1" applyAlignment="1">
      <alignment horizontal="right"/>
    </xf>
    <xf numFmtId="3" fontId="34" fillId="33" borderId="53" xfId="0" applyNumberFormat="1" applyFont="1" applyFill="1" applyBorder="1" applyAlignment="1">
      <alignment horizontal="right"/>
    </xf>
    <xf numFmtId="3" fontId="7" fillId="34" borderId="30" xfId="0" applyNumberFormat="1" applyFont="1" applyFill="1" applyBorder="1" applyAlignment="1">
      <alignment horizontal="right"/>
    </xf>
    <xf numFmtId="0" fontId="130" fillId="35" borderId="0" xfId="0" applyFont="1" applyFill="1" applyAlignment="1">
      <alignment horizontal="right"/>
    </xf>
    <xf numFmtId="0" fontId="10" fillId="35" borderId="9" xfId="0" applyFont="1" applyFill="1" applyBorder="1" applyAlignment="1">
      <alignment horizontal="center"/>
    </xf>
    <xf numFmtId="0" fontId="10" fillId="35" borderId="22" xfId="0" applyFont="1" applyFill="1" applyBorder="1" applyAlignment="1">
      <alignment horizontal="center"/>
    </xf>
    <xf numFmtId="0" fontId="10" fillId="35" borderId="22" xfId="0" quotePrefix="1" applyFont="1" applyFill="1" applyBorder="1" applyAlignment="1">
      <alignment horizontal="center"/>
    </xf>
    <xf numFmtId="10" fontId="7" fillId="35" borderId="30" xfId="1" applyNumberFormat="1" applyFont="1" applyFill="1" applyBorder="1"/>
    <xf numFmtId="0" fontId="7" fillId="35" borderId="30" xfId="0" applyFont="1" applyFill="1" applyBorder="1"/>
    <xf numFmtId="169" fontId="7" fillId="35" borderId="30" xfId="0" applyNumberFormat="1" applyFont="1" applyFill="1" applyBorder="1"/>
    <xf numFmtId="0" fontId="7" fillId="34" borderId="0" xfId="0" applyFont="1" applyFill="1" applyAlignment="1">
      <alignment horizontal="right"/>
    </xf>
    <xf numFmtId="0" fontId="34" fillId="32" borderId="0" xfId="0" applyFont="1" applyFill="1"/>
    <xf numFmtId="0" fontId="57" fillId="25" borderId="0" xfId="0" applyFont="1" applyFill="1" applyAlignment="1">
      <alignment horizontal="left"/>
    </xf>
    <xf numFmtId="0" fontId="94" fillId="25" borderId="0" xfId="0" applyFont="1" applyFill="1" applyBorder="1" applyAlignment="1">
      <alignment horizontal="center"/>
    </xf>
    <xf numFmtId="0" fontId="37" fillId="25" borderId="0" xfId="0" applyFont="1" applyFill="1" applyBorder="1" applyAlignment="1">
      <alignment horizontal="left"/>
    </xf>
    <xf numFmtId="0" fontId="37" fillId="25" borderId="156" xfId="0" applyFont="1" applyFill="1" applyBorder="1" applyAlignment="1">
      <alignment horizontal="left"/>
    </xf>
    <xf numFmtId="0" fontId="57" fillId="25" borderId="0" xfId="0" applyFont="1" applyFill="1" applyBorder="1" applyAlignment="1">
      <alignment horizontal="left"/>
    </xf>
    <xf numFmtId="0" fontId="57" fillId="25" borderId="156" xfId="0" applyFont="1" applyFill="1" applyBorder="1" applyAlignment="1">
      <alignment horizontal="left"/>
    </xf>
    <xf numFmtId="0" fontId="57" fillId="25" borderId="0" xfId="0" applyFont="1" applyFill="1" applyBorder="1" applyAlignment="1">
      <alignment horizontal="left" wrapText="1"/>
    </xf>
    <xf numFmtId="0" fontId="57" fillId="25" borderId="156" xfId="0" applyFont="1" applyFill="1" applyBorder="1" applyAlignment="1">
      <alignment horizontal="left" wrapText="1"/>
    </xf>
    <xf numFmtId="0" fontId="25" fillId="25" borderId="0" xfId="0" applyFont="1" applyFill="1" applyBorder="1" applyAlignment="1">
      <alignment horizontal="left" wrapText="1"/>
    </xf>
    <xf numFmtId="0" fontId="25" fillId="25" borderId="158" xfId="0" applyFont="1" applyFill="1" applyBorder="1" applyAlignment="1">
      <alignment horizontal="left" wrapText="1"/>
    </xf>
    <xf numFmtId="0" fontId="56" fillId="25" borderId="0" xfId="0" applyFont="1" applyFill="1" applyBorder="1" applyAlignment="1">
      <alignment horizontal="left" wrapText="1"/>
    </xf>
    <xf numFmtId="0" fontId="56" fillId="25" borderId="158" xfId="0" applyFont="1" applyFill="1" applyBorder="1" applyAlignment="1">
      <alignment horizontal="left" wrapText="1"/>
    </xf>
    <xf numFmtId="0" fontId="17" fillId="9" borderId="12" xfId="0" applyFont="1" applyFill="1" applyBorder="1" applyAlignment="1">
      <alignment horizontal="left" vertical="center"/>
    </xf>
    <xf numFmtId="0" fontId="17" fillId="9" borderId="13" xfId="0" applyFont="1" applyFill="1" applyBorder="1" applyAlignment="1">
      <alignment horizontal="left" vertical="center"/>
    </xf>
    <xf numFmtId="0" fontId="17" fillId="9" borderId="146" xfId="0" applyFont="1" applyFill="1" applyBorder="1" applyAlignment="1">
      <alignment horizontal="left" vertical="center"/>
    </xf>
    <xf numFmtId="0" fontId="17" fillId="9" borderId="149" xfId="0" applyFont="1" applyFill="1" applyBorder="1" applyAlignment="1">
      <alignment horizontal="left" vertical="center"/>
    </xf>
    <xf numFmtId="0" fontId="15" fillId="16" borderId="94" xfId="0" applyFont="1" applyFill="1" applyBorder="1" applyAlignment="1">
      <alignment horizontal="center"/>
    </xf>
    <xf numFmtId="0" fontId="15" fillId="16" borderId="20" xfId="0" applyFont="1" applyFill="1" applyBorder="1" applyAlignment="1">
      <alignment horizontal="center"/>
    </xf>
    <xf numFmtId="0" fontId="15" fillId="16" borderId="17" xfId="0" applyFont="1" applyFill="1" applyBorder="1" applyAlignment="1">
      <alignment horizontal="center"/>
    </xf>
    <xf numFmtId="0" fontId="94" fillId="25" borderId="360" xfId="0" applyFont="1" applyFill="1" applyBorder="1" applyAlignment="1">
      <alignment horizontal="center"/>
    </xf>
    <xf numFmtId="0" fontId="94" fillId="25" borderId="143" xfId="0" applyFont="1" applyFill="1" applyBorder="1" applyAlignment="1">
      <alignment horizontal="center"/>
    </xf>
    <xf numFmtId="0" fontId="24" fillId="4" borderId="347" xfId="0" applyFont="1" applyFill="1" applyBorder="1" applyAlignment="1">
      <alignment horizontal="center"/>
    </xf>
    <xf numFmtId="0" fontId="24" fillId="4" borderId="348" xfId="0" applyFont="1" applyFill="1" applyBorder="1" applyAlignment="1">
      <alignment horizontal="center"/>
    </xf>
    <xf numFmtId="0" fontId="120" fillId="25" borderId="0" xfId="0" applyFont="1" applyFill="1" applyAlignment="1" applyProtection="1">
      <alignment horizontal="center"/>
    </xf>
    <xf numFmtId="0" fontId="119" fillId="25" borderId="259" xfId="0" applyFont="1" applyFill="1" applyBorder="1" applyAlignment="1" applyProtection="1">
      <alignment horizontal="center" vertical="center"/>
    </xf>
    <xf numFmtId="0" fontId="59" fillId="25" borderId="259" xfId="0" applyFont="1" applyFill="1" applyBorder="1" applyAlignment="1" applyProtection="1">
      <alignment vertical="center"/>
    </xf>
    <xf numFmtId="0" fontId="56" fillId="25" borderId="259" xfId="0" applyFont="1" applyFill="1" applyBorder="1" applyAlignment="1" applyProtection="1">
      <alignment horizontal="center" vertical="center" wrapText="1"/>
    </xf>
    <xf numFmtId="0" fontId="80" fillId="2" borderId="259" xfId="0" applyFont="1" applyFill="1" applyBorder="1" applyAlignment="1" applyProtection="1">
      <alignment horizontal="center"/>
    </xf>
    <xf numFmtId="0" fontId="40" fillId="2" borderId="259" xfId="0" applyFont="1" applyFill="1" applyBorder="1" applyAlignment="1" applyProtection="1"/>
    <xf numFmtId="0" fontId="24" fillId="35" borderId="35" xfId="0" applyFont="1" applyFill="1" applyBorder="1" applyAlignment="1">
      <alignment horizontal="center"/>
    </xf>
    <xf numFmtId="0" fontId="24" fillId="35" borderId="4" xfId="0" applyFont="1" applyFill="1" applyBorder="1" applyAlignment="1">
      <alignment horizontal="center"/>
    </xf>
    <xf numFmtId="0" fontId="24" fillId="35" borderId="36" xfId="0" applyFont="1" applyFill="1" applyBorder="1" applyAlignment="1">
      <alignment horizontal="center"/>
    </xf>
    <xf numFmtId="0" fontId="17" fillId="18" borderId="35" xfId="0" applyFont="1" applyFill="1" applyBorder="1" applyAlignment="1">
      <alignment horizontal="center"/>
    </xf>
    <xf numFmtId="0" fontId="17" fillId="18" borderId="4" xfId="0" applyFont="1" applyFill="1" applyBorder="1" applyAlignment="1">
      <alignment horizontal="center"/>
    </xf>
    <xf numFmtId="0" fontId="17" fillId="18" borderId="36" xfId="0" applyFont="1" applyFill="1" applyBorder="1" applyAlignment="1">
      <alignment horizontal="center"/>
    </xf>
    <xf numFmtId="0" fontId="8" fillId="2" borderId="48" xfId="0" applyFont="1" applyFill="1" applyBorder="1" applyAlignment="1">
      <alignment horizontal="center" vertical="center" wrapText="1"/>
    </xf>
    <xf numFmtId="0" fontId="8" fillId="2" borderId="37" xfId="0" applyFont="1" applyFill="1" applyBorder="1" applyAlignment="1">
      <alignment horizontal="center" vertical="center" wrapText="1"/>
    </xf>
    <xf numFmtId="0" fontId="24" fillId="2" borderId="48" xfId="0" applyFont="1" applyFill="1" applyBorder="1" applyAlignment="1">
      <alignment horizontal="center" vertical="center" wrapText="1"/>
    </xf>
    <xf numFmtId="0" fontId="24" fillId="2" borderId="37" xfId="0" applyFont="1" applyFill="1" applyBorder="1" applyAlignment="1">
      <alignment horizontal="center" vertical="center" wrapText="1"/>
    </xf>
    <xf numFmtId="169" fontId="89" fillId="2" borderId="35" xfId="1" applyNumberFormat="1" applyFont="1" applyFill="1" applyBorder="1" applyAlignment="1">
      <alignment horizontal="right"/>
    </xf>
    <xf numFmtId="169" fontId="89" fillId="2" borderId="36" xfId="1" applyNumberFormat="1" applyFont="1" applyFill="1" applyBorder="1" applyAlignment="1">
      <alignment horizontal="right"/>
    </xf>
    <xf numFmtId="0" fontId="15" fillId="5" borderId="35" xfId="0" applyFont="1" applyFill="1" applyBorder="1" applyAlignment="1">
      <alignment horizontal="center"/>
    </xf>
    <xf numFmtId="0" fontId="15" fillId="5" borderId="36" xfId="0" applyFont="1" applyFill="1" applyBorder="1" applyAlignment="1">
      <alignment horizontal="center"/>
    </xf>
    <xf numFmtId="0" fontId="17" fillId="21" borderId="48" xfId="0" applyFont="1" applyFill="1" applyBorder="1" applyAlignment="1">
      <alignment horizontal="center" vertical="center" wrapText="1"/>
    </xf>
    <xf numFmtId="0" fontId="17" fillId="21" borderId="37" xfId="0" applyFont="1" applyFill="1" applyBorder="1" applyAlignment="1">
      <alignment horizontal="center" vertical="center" wrapText="1"/>
    </xf>
    <xf numFmtId="0" fontId="25" fillId="12" borderId="24" xfId="0" applyFont="1" applyFill="1" applyBorder="1" applyAlignment="1">
      <alignment horizontal="center"/>
    </xf>
    <xf numFmtId="0" fontId="25" fillId="12" borderId="17" xfId="0" applyFont="1" applyFill="1" applyBorder="1" applyAlignment="1">
      <alignment horizontal="center"/>
    </xf>
    <xf numFmtId="0" fontId="17" fillId="11" borderId="48" xfId="0" applyFont="1" applyFill="1" applyBorder="1" applyAlignment="1">
      <alignment horizontal="center" vertical="center" wrapText="1"/>
    </xf>
    <xf numFmtId="0" fontId="17" fillId="11" borderId="37" xfId="0" applyFont="1" applyFill="1" applyBorder="1" applyAlignment="1">
      <alignment horizontal="center" vertical="center" wrapText="1"/>
    </xf>
    <xf numFmtId="0" fontId="15" fillId="2" borderId="48" xfId="0" applyFont="1" applyFill="1" applyBorder="1" applyAlignment="1">
      <alignment horizontal="center" vertical="center" wrapText="1"/>
    </xf>
    <xf numFmtId="0" fontId="15" fillId="2" borderId="37" xfId="0" applyFont="1" applyFill="1" applyBorder="1" applyAlignment="1">
      <alignment horizontal="center" vertical="center" wrapText="1"/>
    </xf>
    <xf numFmtId="0" fontId="9" fillId="12" borderId="61" xfId="0" applyFont="1" applyFill="1" applyBorder="1" applyAlignment="1">
      <alignment horizontal="center"/>
    </xf>
    <xf numFmtId="0" fontId="9" fillId="12" borderId="63" xfId="0" applyFont="1" applyFill="1" applyBorder="1" applyAlignment="1">
      <alignment horizontal="center"/>
    </xf>
    <xf numFmtId="0" fontId="99" fillId="25" borderId="0" xfId="0" applyFont="1" applyFill="1" applyBorder="1" applyAlignment="1">
      <alignment horizontal="center"/>
    </xf>
    <xf numFmtId="0" fontId="57" fillId="25" borderId="118" xfId="0" applyFont="1" applyFill="1" applyBorder="1" applyAlignment="1">
      <alignment horizontal="left"/>
    </xf>
    <xf numFmtId="0" fontId="37" fillId="25" borderId="251" xfId="0" applyFont="1" applyFill="1" applyBorder="1" applyAlignment="1">
      <alignment horizontal="left"/>
    </xf>
    <xf numFmtId="0" fontId="37" fillId="25" borderId="258" xfId="0" applyFont="1" applyFill="1" applyBorder="1" applyAlignment="1">
      <alignment horizontal="left"/>
    </xf>
    <xf numFmtId="0" fontId="94" fillId="25" borderId="252" xfId="0" applyFont="1" applyFill="1" applyBorder="1" applyAlignment="1">
      <alignment horizontal="center"/>
    </xf>
    <xf numFmtId="0" fontId="94" fillId="25" borderId="253" xfId="0" applyFont="1" applyFill="1" applyBorder="1" applyAlignment="1">
      <alignment horizontal="center"/>
    </xf>
    <xf numFmtId="0" fontId="69" fillId="2" borderId="0" xfId="3" applyFont="1" applyFill="1" applyBorder="1" applyAlignment="1">
      <alignment horizontal="left"/>
    </xf>
    <xf numFmtId="0" fontId="8" fillId="4" borderId="44" xfId="0" applyFont="1" applyFill="1" applyBorder="1" applyAlignment="1">
      <alignment horizontal="left" vertical="center"/>
    </xf>
    <xf numFmtId="0" fontId="8" fillId="4" borderId="126" xfId="0" applyFont="1" applyFill="1" applyBorder="1" applyAlignment="1">
      <alignment horizontal="left" vertical="center"/>
    </xf>
    <xf numFmtId="0" fontId="24" fillId="5" borderId="142" xfId="0" applyFont="1" applyFill="1" applyBorder="1" applyAlignment="1">
      <alignment horizontal="center"/>
    </xf>
    <xf numFmtId="0" fontId="24" fillId="5" borderId="143" xfId="0" applyFont="1" applyFill="1" applyBorder="1" applyAlignment="1">
      <alignment horizontal="center"/>
    </xf>
    <xf numFmtId="0" fontId="24" fillId="5" borderId="141" xfId="0" applyFont="1" applyFill="1" applyBorder="1" applyAlignment="1">
      <alignment horizontal="center"/>
    </xf>
    <xf numFmtId="0" fontId="24" fillId="5" borderId="300" xfId="0" applyFont="1" applyFill="1" applyBorder="1" applyAlignment="1">
      <alignment horizontal="center"/>
    </xf>
    <xf numFmtId="0" fontId="25" fillId="11" borderId="32" xfId="0" applyFont="1" applyFill="1" applyBorder="1" applyAlignment="1">
      <alignment horizontal="left"/>
    </xf>
    <xf numFmtId="0" fontId="25" fillId="11" borderId="34" xfId="0" applyFont="1" applyFill="1" applyBorder="1" applyAlignment="1">
      <alignment horizontal="left"/>
    </xf>
    <xf numFmtId="0" fontId="25" fillId="11" borderId="307" xfId="0" applyFont="1" applyFill="1" applyBorder="1" applyAlignment="1">
      <alignment horizontal="left"/>
    </xf>
    <xf numFmtId="0" fontId="98" fillId="11" borderId="312" xfId="0" applyFont="1" applyFill="1" applyBorder="1" applyAlignment="1">
      <alignment horizontal="center"/>
    </xf>
    <xf numFmtId="0" fontId="98" fillId="11" borderId="313" xfId="0" applyFont="1" applyFill="1" applyBorder="1" applyAlignment="1">
      <alignment horizontal="center"/>
    </xf>
    <xf numFmtId="3" fontId="15" fillId="4" borderId="4" xfId="0" applyNumberFormat="1" applyFont="1" applyFill="1" applyBorder="1" applyAlignment="1">
      <alignment horizontal="right"/>
    </xf>
    <xf numFmtId="3" fontId="15" fillId="4" borderId="36" xfId="0" applyNumberFormat="1" applyFont="1" applyFill="1" applyBorder="1" applyAlignment="1">
      <alignment horizontal="right"/>
    </xf>
  </cellXfs>
  <cellStyles count="9">
    <cellStyle name="§Q\?1@" xfId="4"/>
    <cellStyle name="Currency_1__" xfId="6"/>
    <cellStyle name="Currency_2____" xfId="7"/>
    <cellStyle name="f‰H_x0010_‹Ëf‰h,ÿt$_x0018_è¸Wÿÿé&gt;Ëÿÿ÷Ç_x0001_" xfId="3"/>
    <cellStyle name="Köprü" xfId="8" builtinId="8"/>
    <cellStyle name="Normal" xfId="0" builtinId="0"/>
    <cellStyle name="Normal_1__" xfId="5"/>
    <cellStyle name="Virgül" xfId="2" builtinId="3"/>
    <cellStyle name="Yüzde" xfId="1" builtinId="5"/>
  </cellStyles>
  <dxfs count="28">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9" defaultPivotStyle="PivotStyleLight16"/>
  <colors>
    <mruColors>
      <color rgb="FFCCFF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25</xdr:col>
      <xdr:colOff>317587</xdr:colOff>
      <xdr:row>46</xdr:row>
      <xdr:rowOff>147772</xdr:rowOff>
    </xdr:from>
    <xdr:to>
      <xdr:col>37</xdr:col>
      <xdr:colOff>162973</xdr:colOff>
      <xdr:row>70</xdr:row>
      <xdr:rowOff>156531</xdr:rowOff>
    </xdr:to>
    <xdr:sp macro="" textlink="">
      <xdr:nvSpPr>
        <xdr:cNvPr id="2" name="Metin kutusu 1">
          <a:extLst>
            <a:ext uri="{FF2B5EF4-FFF2-40B4-BE49-F238E27FC236}">
              <a16:creationId xmlns:a16="http://schemas.microsoft.com/office/drawing/2014/main" id="{00000000-0008-0000-0600-000002000000}"/>
            </a:ext>
          </a:extLst>
        </xdr:cNvPr>
        <xdr:cNvSpPr txBox="1"/>
      </xdr:nvSpPr>
      <xdr:spPr>
        <a:xfrm>
          <a:off x="14786516" y="9672772"/>
          <a:ext cx="7193243" cy="46351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r-TR" sz="1100" b="0" i="0">
              <a:solidFill>
                <a:schemeClr val="dk1"/>
              </a:solidFill>
              <a:effectLst/>
              <a:latin typeface="+mn-lt"/>
              <a:ea typeface="+mn-ea"/>
              <a:cs typeface="+mn-cs"/>
            </a:rPr>
            <a:t>B. </a:t>
          </a:r>
          <a:r>
            <a:rPr lang="tr-TR" sz="1100" b="0" i="1">
              <a:solidFill>
                <a:schemeClr val="dk1"/>
              </a:solidFill>
              <a:effectLst/>
              <a:latin typeface="+mn-lt"/>
              <a:ea typeface="+mn-ea"/>
              <a:cs typeface="+mn-cs"/>
            </a:rPr>
            <a:t>Advanced Approach</a:t>
          </a:r>
          <a:r>
            <a:rPr lang="tr-TR" sz="1100" b="0" i="0">
              <a:solidFill>
                <a:schemeClr val="dk1"/>
              </a:solidFill>
              <a:effectLst/>
              <a:latin typeface="+mn-lt"/>
              <a:ea typeface="+mn-ea"/>
              <a:cs typeface="+mn-cs"/>
            </a:rPr>
            <a:t>. In this approach, we make a number of detailed adjustments.</a:t>
          </a:r>
        </a:p>
        <a:p>
          <a:r>
            <a:rPr lang="tr-TR" sz="1100" b="1">
              <a:solidFill>
                <a:srgbClr val="FF0000"/>
              </a:solidFill>
              <a:latin typeface="+mn-lt"/>
              <a:ea typeface="+mn-ea"/>
              <a:cs typeface="+mn-cs"/>
            </a:rPr>
            <a:t>1. </a:t>
          </a:r>
          <a:r>
            <a:rPr lang="tr-TR" sz="1100" b="1" i="1">
              <a:solidFill>
                <a:srgbClr val="FF0000"/>
              </a:solidFill>
              <a:latin typeface="+mn-lt"/>
              <a:ea typeface="+mn-ea"/>
              <a:cs typeface="+mn-cs"/>
            </a:rPr>
            <a:t>Book taxes</a:t>
          </a:r>
          <a:r>
            <a:rPr lang="tr-TR" sz="1100">
              <a:solidFill>
                <a:schemeClr val="dk1"/>
              </a:solidFill>
              <a:latin typeface="+mn-lt"/>
              <a:ea typeface="+mn-ea"/>
              <a:cs typeface="+mn-cs"/>
            </a:rPr>
            <a:t>. We start with a company's income tax provision found on the income statement.</a:t>
          </a:r>
          <a:endParaRPr lang="tr-TR"/>
        </a:p>
        <a:p>
          <a:r>
            <a:rPr lang="tr-TR" sz="1100" b="1">
              <a:solidFill>
                <a:srgbClr val="FF0000"/>
              </a:solidFill>
              <a:latin typeface="+mn-lt"/>
              <a:ea typeface="+mn-ea"/>
              <a:cs typeface="+mn-cs"/>
            </a:rPr>
            <a:t>2. </a:t>
          </a:r>
          <a:r>
            <a:rPr lang="tr-TR" sz="1100" b="1" i="1">
              <a:solidFill>
                <a:srgbClr val="FF0000"/>
              </a:solidFill>
              <a:latin typeface="+mn-lt"/>
              <a:ea typeface="+mn-ea"/>
              <a:cs typeface="+mn-cs"/>
            </a:rPr>
            <a:t>Change in deferred taxes</a:t>
          </a:r>
          <a:r>
            <a:rPr lang="tr-TR" sz="1100">
              <a:solidFill>
                <a:schemeClr val="dk1"/>
              </a:solidFill>
              <a:latin typeface="+mn-lt"/>
              <a:ea typeface="+mn-ea"/>
              <a:cs typeface="+mn-cs"/>
            </a:rPr>
            <a:t>. Next, we </a:t>
          </a:r>
          <a:r>
            <a:rPr lang="tr-TR" sz="1100" i="1">
              <a:solidFill>
                <a:schemeClr val="dk1"/>
              </a:solidFill>
              <a:latin typeface="+mn-lt"/>
              <a:ea typeface="+mn-ea"/>
              <a:cs typeface="+mn-cs"/>
            </a:rPr>
            <a:t>add </a:t>
          </a:r>
          <a:r>
            <a:rPr lang="tr-TR" sz="1100">
              <a:solidFill>
                <a:schemeClr val="dk1"/>
              </a:solidFill>
              <a:latin typeface="+mn-lt"/>
              <a:ea typeface="+mn-ea"/>
              <a:cs typeface="+mn-cs"/>
            </a:rPr>
            <a:t>the year-to-year increase in a company's deferred income tax </a:t>
          </a:r>
          <a:r>
            <a:rPr lang="tr-TR" sz="1100" i="1">
              <a:solidFill>
                <a:schemeClr val="dk1"/>
              </a:solidFill>
              <a:latin typeface="+mn-lt"/>
              <a:ea typeface="+mn-ea"/>
              <a:cs typeface="+mn-cs"/>
            </a:rPr>
            <a:t>liability </a:t>
          </a:r>
          <a:r>
            <a:rPr lang="tr-TR" sz="1100">
              <a:solidFill>
                <a:schemeClr val="dk1"/>
              </a:solidFill>
              <a:latin typeface="+mn-lt"/>
              <a:ea typeface="+mn-ea"/>
              <a:cs typeface="+mn-cs"/>
            </a:rPr>
            <a:t>(or </a:t>
          </a:r>
          <a:r>
            <a:rPr lang="tr-TR" sz="1100" i="1">
              <a:solidFill>
                <a:schemeClr val="dk1"/>
              </a:solidFill>
              <a:latin typeface="+mn-lt"/>
              <a:ea typeface="+mn-ea"/>
              <a:cs typeface="+mn-cs"/>
            </a:rPr>
            <a:t>subtract </a:t>
          </a:r>
          <a:r>
            <a:rPr lang="tr-TR" sz="1100">
              <a:solidFill>
                <a:schemeClr val="dk1"/>
              </a:solidFill>
              <a:latin typeface="+mn-lt"/>
              <a:ea typeface="+mn-ea"/>
              <a:cs typeface="+mn-cs"/>
            </a:rPr>
            <a:t>the increase in a company's deferred tax</a:t>
          </a:r>
          <a:r>
            <a:rPr lang="tr-TR" sz="1100" i="1">
              <a:solidFill>
                <a:schemeClr val="dk1"/>
              </a:solidFill>
              <a:latin typeface="+mn-lt"/>
              <a:ea typeface="+mn-ea"/>
              <a:cs typeface="+mn-cs"/>
            </a:rPr>
            <a:t>asset</a:t>
          </a:r>
          <a:r>
            <a:rPr lang="tr-TR" sz="1100">
              <a:solidFill>
                <a:schemeClr val="dk1"/>
              </a:solidFill>
              <a:latin typeface="+mn-lt"/>
              <a:ea typeface="+mn-ea"/>
              <a:cs typeface="+mn-cs"/>
            </a:rPr>
            <a:t>). These line items can be found on a company's balance sheet. However, sometimes, this liability is not separately broken out. In those cases, there are two alternate sources for a company's change in deferred taxes:</a:t>
          </a:r>
          <a:endParaRPr lang="tr-TR"/>
        </a:p>
        <a:p>
          <a:r>
            <a:rPr lang="tr-TR" sz="1100" i="1">
              <a:solidFill>
                <a:schemeClr val="dk1"/>
              </a:solidFill>
              <a:latin typeface="+mn-lt"/>
              <a:ea typeface="+mn-ea"/>
              <a:cs typeface="+mn-cs"/>
            </a:rPr>
            <a:t>"Adjustments to reconcile net income to net cash provided by operating activities" in the "Cash flows from operating activities" section of the Cash Flow Statement</a:t>
          </a:r>
          <a:r>
            <a:rPr lang="tr-TR" sz="1100">
              <a:solidFill>
                <a:schemeClr val="dk1"/>
              </a:solidFill>
              <a:latin typeface="+mn-lt"/>
              <a:ea typeface="+mn-ea"/>
              <a:cs typeface="+mn-cs"/>
            </a:rPr>
            <a:t>.  A deferred tax liability occurs when a company pays less in cash taxes than it reports in book taxes. Thus, an increase in a company's deferred tax </a:t>
          </a:r>
          <a:r>
            <a:rPr lang="tr-TR" sz="1100" i="1">
              <a:solidFill>
                <a:schemeClr val="dk1"/>
              </a:solidFill>
              <a:latin typeface="+mn-lt"/>
              <a:ea typeface="+mn-ea"/>
              <a:cs typeface="+mn-cs"/>
            </a:rPr>
            <a:t>liability </a:t>
          </a:r>
          <a:r>
            <a:rPr lang="tr-TR" sz="1100">
              <a:solidFill>
                <a:schemeClr val="dk1"/>
              </a:solidFill>
              <a:latin typeface="+mn-lt"/>
              <a:ea typeface="+mn-ea"/>
              <a:cs typeface="+mn-cs"/>
            </a:rPr>
            <a:t>represents a </a:t>
          </a:r>
          <a:r>
            <a:rPr lang="tr-TR" sz="1100" i="1">
              <a:solidFill>
                <a:schemeClr val="dk1"/>
              </a:solidFill>
              <a:latin typeface="+mn-lt"/>
              <a:ea typeface="+mn-ea"/>
              <a:cs typeface="+mn-cs"/>
            </a:rPr>
            <a:t>source </a:t>
          </a:r>
          <a:r>
            <a:rPr lang="tr-TR" sz="1100">
              <a:solidFill>
                <a:schemeClr val="dk1"/>
              </a:solidFill>
              <a:latin typeface="+mn-lt"/>
              <a:ea typeface="+mn-ea"/>
              <a:cs typeface="+mn-cs"/>
            </a:rPr>
            <a:t>of cash. Conversely, a deferred tax asset occurs when a company pays more in cash taxes than it reports in book taxes. Thus, an increase in a company's deferred tax </a:t>
          </a:r>
          <a:r>
            <a:rPr lang="tr-TR" sz="1100" i="1">
              <a:solidFill>
                <a:schemeClr val="dk1"/>
              </a:solidFill>
              <a:latin typeface="+mn-lt"/>
              <a:ea typeface="+mn-ea"/>
              <a:cs typeface="+mn-cs"/>
            </a:rPr>
            <a:t>asset </a:t>
          </a:r>
          <a:r>
            <a:rPr lang="tr-TR" sz="1100">
              <a:solidFill>
                <a:schemeClr val="dk1"/>
              </a:solidFill>
              <a:latin typeface="+mn-lt"/>
              <a:ea typeface="+mn-ea"/>
              <a:cs typeface="+mn-cs"/>
            </a:rPr>
            <a:t>represents a </a:t>
          </a:r>
          <a:r>
            <a:rPr lang="tr-TR" sz="1100" i="1">
              <a:solidFill>
                <a:schemeClr val="dk1"/>
              </a:solidFill>
              <a:latin typeface="+mn-lt"/>
              <a:ea typeface="+mn-ea"/>
              <a:cs typeface="+mn-cs"/>
            </a:rPr>
            <a:t>use </a:t>
          </a:r>
          <a:r>
            <a:rPr lang="tr-TR" sz="1100">
              <a:solidFill>
                <a:schemeClr val="dk1"/>
              </a:solidFill>
              <a:latin typeface="+mn-lt"/>
              <a:ea typeface="+mn-ea"/>
              <a:cs typeface="+mn-cs"/>
            </a:rPr>
            <a:t>of cash.</a:t>
          </a:r>
          <a:endParaRPr lang="tr-TR"/>
        </a:p>
        <a:p>
          <a:r>
            <a:rPr lang="tr-TR" sz="1100" i="1">
              <a:solidFill>
                <a:schemeClr val="dk1"/>
              </a:solidFill>
              <a:latin typeface="+mn-lt"/>
              <a:ea typeface="+mn-ea"/>
              <a:cs typeface="+mn-cs"/>
            </a:rPr>
            <a:t>The Income Taxes section of the Notes to the Consolidated Financial Statements, where the 10-K will list the "components of the provision for income taxes"</a:t>
          </a:r>
          <a:r>
            <a:rPr lang="tr-TR" sz="1100">
              <a:solidFill>
                <a:schemeClr val="dk1"/>
              </a:solidFill>
              <a:latin typeface="+mn-lt"/>
              <a:ea typeface="+mn-ea"/>
              <a:cs typeface="+mn-cs"/>
            </a:rPr>
            <a:t>. We subtract the sum of the annual U.S. and Foreign deferred income taxes from a company's income tax provision. When annual U.S. and foreign deferred taxes are positive, the company has increased its net deferred tax liability, which reduces the tax onus. Conversely, when annual U.S. and foreign deferred taxes are negative, the company has increased its net deferred tax asset, which increases the tax onus. (Note: the sum of U.S. and Foreign deferred income taxes should be identical to the number in the Cash Flow Statement.)</a:t>
          </a:r>
          <a:endParaRPr lang="tr-TR"/>
        </a:p>
        <a:p>
          <a:r>
            <a:rPr lang="tr-TR" sz="1100" b="1">
              <a:solidFill>
                <a:srgbClr val="FF0000"/>
              </a:solidFill>
              <a:latin typeface="+mn-lt"/>
              <a:ea typeface="+mn-ea"/>
              <a:cs typeface="+mn-cs"/>
            </a:rPr>
            <a:t>3. </a:t>
          </a:r>
          <a:r>
            <a:rPr lang="tr-TR" sz="1100" b="1" i="1">
              <a:solidFill>
                <a:srgbClr val="FF0000"/>
              </a:solidFill>
              <a:latin typeface="+mn-lt"/>
              <a:ea typeface="+mn-ea"/>
              <a:cs typeface="+mn-cs"/>
            </a:rPr>
            <a:t>"Unlevering" income taxes</a:t>
          </a:r>
          <a:r>
            <a:rPr lang="tr-TR" sz="1100">
              <a:solidFill>
                <a:schemeClr val="dk1"/>
              </a:solidFill>
              <a:latin typeface="+mn-lt"/>
              <a:ea typeface="+mn-ea"/>
              <a:cs typeface="+mn-cs"/>
            </a:rPr>
            <a:t>. Finally, we remove taxes paid (in the case of positive interest income) or add back taxes shielded by debt (in the case of interest expense). For example, if a company had $100 million in interest income and an estimated 35% marginal tax rate, we would subtract $35 million. If a company had $100 million interest expense, we would add back $35 million in taxes (that would have been paid if that interest expense had not shielded the company from paying taxes).</a:t>
          </a:r>
          <a:endParaRPr lang="tr-TR"/>
        </a:p>
        <a:p>
          <a:endParaRPr lang="tr-TR" sz="1100"/>
        </a:p>
      </xdr:txBody>
    </xdr:sp>
    <xdr:clientData/>
  </xdr:twoCellAnchor>
  <xdr:twoCellAnchor>
    <xdr:from>
      <xdr:col>27</xdr:col>
      <xdr:colOff>513836</xdr:colOff>
      <xdr:row>16</xdr:row>
      <xdr:rowOff>0</xdr:rowOff>
    </xdr:from>
    <xdr:to>
      <xdr:col>42</xdr:col>
      <xdr:colOff>91214</xdr:colOff>
      <xdr:row>43</xdr:row>
      <xdr:rowOff>156344</xdr:rowOff>
    </xdr:to>
    <xdr:sp macro="" textlink="">
      <xdr:nvSpPr>
        <xdr:cNvPr id="3" name="Metin kutusu 2">
          <a:extLst>
            <a:ext uri="{FF2B5EF4-FFF2-40B4-BE49-F238E27FC236}">
              <a16:creationId xmlns:a16="http://schemas.microsoft.com/office/drawing/2014/main" id="{00000000-0008-0000-0600-000003000000}"/>
            </a:ext>
          </a:extLst>
        </xdr:cNvPr>
        <xdr:cNvSpPr txBox="1"/>
      </xdr:nvSpPr>
      <xdr:spPr>
        <a:xfrm>
          <a:off x="20260787" y="4072812"/>
          <a:ext cx="8916525" cy="14687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r-TR" sz="1100" b="1" u="sng"/>
            <a:t>EBITDA Adjustment</a:t>
          </a:r>
          <a:r>
            <a:rPr lang="tr-TR" sz="1100"/>
            <a:t>:</a:t>
          </a:r>
        </a:p>
        <a:p>
          <a:r>
            <a:rPr lang="tr-TR" sz="1100" b="1" i="0">
              <a:solidFill>
                <a:schemeClr val="dk1"/>
              </a:solidFill>
              <a:effectLst/>
              <a:latin typeface="+mn-lt"/>
              <a:ea typeface="+mn-ea"/>
              <a:cs typeface="+mn-cs"/>
            </a:rPr>
            <a:t>Adjust EBITDA for any normalizing or non recurring items</a:t>
          </a:r>
        </a:p>
        <a:p>
          <a:r>
            <a:rPr lang="tr-TR" sz="1100" b="0" i="0">
              <a:solidFill>
                <a:schemeClr val="dk1"/>
              </a:solidFill>
              <a:effectLst/>
              <a:latin typeface="+mn-lt"/>
              <a:ea typeface="+mn-ea"/>
              <a:cs typeface="+mn-cs"/>
            </a:rPr>
            <a:t>EBITDA will need to be </a:t>
          </a:r>
          <a:r>
            <a:rPr lang="tr-TR" sz="1100" b="0" i="0" u="sng">
              <a:solidFill>
                <a:schemeClr val="dk1"/>
              </a:solidFill>
              <a:effectLst/>
              <a:latin typeface="+mn-lt"/>
              <a:ea typeface="+mn-ea"/>
              <a:cs typeface="+mn-cs"/>
              <a:hlinkClick xmlns:r="http://schemas.openxmlformats.org/officeDocument/2006/relationships" r:id=""/>
            </a:rPr>
            <a:t>normalized</a:t>
          </a:r>
          <a:r>
            <a:rPr lang="tr-TR" sz="1100" b="0" i="0">
              <a:solidFill>
                <a:schemeClr val="dk1"/>
              </a:solidFill>
              <a:effectLst/>
              <a:latin typeface="+mn-lt"/>
              <a:ea typeface="+mn-ea"/>
              <a:cs typeface="+mn-cs"/>
            </a:rPr>
            <a:t> for any items that fall under one of the following scenarios:</a:t>
          </a:r>
        </a:p>
        <a:p>
          <a:r>
            <a:rPr lang="tr-TR" sz="1100" b="0" i="0">
              <a:solidFill>
                <a:schemeClr val="dk1"/>
              </a:solidFill>
              <a:effectLst/>
              <a:latin typeface="+mn-lt"/>
              <a:ea typeface="+mn-ea"/>
              <a:cs typeface="+mn-cs"/>
            </a:rPr>
            <a:t>1-) One-time expenses or revenues not expected to occur each year;</a:t>
          </a:r>
        </a:p>
        <a:p>
          <a:r>
            <a:rPr lang="tr-TR" sz="1100" b="0" i="0">
              <a:solidFill>
                <a:schemeClr val="dk1"/>
              </a:solidFill>
              <a:effectLst/>
              <a:latin typeface="+mn-lt"/>
              <a:ea typeface="+mn-ea"/>
              <a:cs typeface="+mn-cs"/>
            </a:rPr>
            <a:t>2-) Amounts that have not been recorded in the financial statements at fair market value; and</a:t>
          </a:r>
        </a:p>
        <a:p>
          <a:r>
            <a:rPr lang="tr-TR" sz="1100" b="0" i="0">
              <a:solidFill>
                <a:schemeClr val="dk1"/>
              </a:solidFill>
              <a:effectLst/>
              <a:latin typeface="+mn-lt"/>
              <a:ea typeface="+mn-ea"/>
              <a:cs typeface="+mn-cs"/>
            </a:rPr>
            <a:t>3-) Overly aggressive or conservative application of an accounting policy.</a:t>
          </a:r>
        </a:p>
        <a:p>
          <a:r>
            <a:rPr lang="tr-TR" sz="1100" b="0" i="0">
              <a:solidFill>
                <a:schemeClr val="dk1"/>
              </a:solidFill>
              <a:effectLst/>
              <a:latin typeface="+mn-lt"/>
              <a:ea typeface="+mn-ea"/>
              <a:cs typeface="+mn-cs"/>
            </a:rPr>
            <a:t>Read our article on </a:t>
          </a:r>
          <a:r>
            <a:rPr lang="tr-TR" sz="1100" b="0" i="0" u="sng">
              <a:solidFill>
                <a:schemeClr val="dk1"/>
              </a:solidFill>
              <a:effectLst/>
              <a:latin typeface="+mn-lt"/>
              <a:ea typeface="+mn-ea"/>
              <a:cs typeface="+mn-cs"/>
              <a:hlinkClick xmlns:r="http://schemas.openxmlformats.org/officeDocument/2006/relationships" r:id=""/>
            </a:rPr>
            <a:t>the Top 10 EBITDA Adjustment to Make Before Selling a Business</a:t>
          </a:r>
          <a:r>
            <a:rPr lang="tr-TR" sz="1100" b="0" i="0">
              <a:solidFill>
                <a:schemeClr val="dk1"/>
              </a:solidFill>
              <a:effectLst/>
              <a:latin typeface="+mn-lt"/>
              <a:ea typeface="+mn-ea"/>
              <a:cs typeface="+mn-cs"/>
            </a:rPr>
            <a:t> to get an better sense of what can be added back or deducted in your template.</a:t>
          </a:r>
        </a:p>
        <a:p>
          <a:endParaRPr lang="tr-TR" sz="1100"/>
        </a:p>
        <a:p>
          <a:r>
            <a:rPr lang="tr-TR" sz="1100" b="1" i="0">
              <a:solidFill>
                <a:schemeClr val="dk1"/>
              </a:solidFill>
              <a:effectLst/>
              <a:latin typeface="+mn-lt"/>
              <a:ea typeface="+mn-ea"/>
              <a:cs typeface="+mn-cs"/>
            </a:rPr>
            <a:t>Top 10 EBITDA Adjustments</a:t>
          </a:r>
        </a:p>
        <a:p>
          <a:r>
            <a:rPr lang="tr-TR" sz="1100" b="0" i="0">
              <a:solidFill>
                <a:schemeClr val="dk1"/>
              </a:solidFill>
              <a:effectLst/>
              <a:latin typeface="+mn-lt"/>
              <a:ea typeface="+mn-ea"/>
              <a:cs typeface="+mn-cs"/>
            </a:rPr>
            <a:t>So how exactly can you normalize EBITDA? Here are 10 of the best normalizing adjustments (in no particular order). Remember that it's important to do these calculations </a:t>
          </a:r>
          <a:r>
            <a:rPr lang="tr-TR" sz="1100" b="0" i="1">
              <a:solidFill>
                <a:schemeClr val="dk1"/>
              </a:solidFill>
              <a:effectLst/>
              <a:latin typeface="+mn-lt"/>
              <a:ea typeface="+mn-ea"/>
              <a:cs typeface="+mn-cs"/>
            </a:rPr>
            <a:t>before </a:t>
          </a:r>
          <a:r>
            <a:rPr lang="tr-TR" sz="1100" b="0" i="0">
              <a:solidFill>
                <a:schemeClr val="dk1"/>
              </a:solidFill>
              <a:effectLst/>
              <a:latin typeface="+mn-lt"/>
              <a:ea typeface="+mn-ea"/>
              <a:cs typeface="+mn-cs"/>
            </a:rPr>
            <a:t>you put your business up for sale. At the very least, it should save you money when you hire an investment banker to market your company. </a:t>
          </a:r>
          <a:r>
            <a:rPr lang="tr-TR"/>
            <a:t/>
          </a:r>
          <a:br>
            <a:rPr lang="tr-TR"/>
          </a:br>
          <a:r>
            <a:rPr lang="tr-TR"/>
            <a:t/>
          </a:r>
          <a:br>
            <a:rPr lang="tr-TR"/>
          </a:br>
          <a:r>
            <a:rPr lang="tr-TR" sz="1100" b="1" i="0">
              <a:solidFill>
                <a:schemeClr val="dk1"/>
              </a:solidFill>
              <a:effectLst/>
              <a:latin typeface="+mn-lt"/>
              <a:ea typeface="+mn-ea"/>
              <a:cs typeface="+mn-cs"/>
            </a:rPr>
            <a:t>Non-Arms-Length Revenue or Expenses</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a:solidFill>
                <a:schemeClr val="dk1"/>
              </a:solidFill>
              <a:effectLst/>
              <a:latin typeface="+mn-lt"/>
              <a:ea typeface="+mn-ea"/>
              <a:cs typeface="+mn-cs"/>
            </a:rPr>
            <a:t>This refers to a company that enters into transactions with related parties at a price that is lower or higher than market rates. An example would be if your operating company buys supplies from another company owned by a major shareholder at prices higher than market value. When your operating company goes up for sale, you would normalize EBITDA to reflect the fair market value of these supplies. </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Revenue or Expenses Generated by Redundant Assets</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u="sng">
              <a:solidFill>
                <a:schemeClr val="dk1"/>
              </a:solidFill>
              <a:effectLst/>
              <a:latin typeface="+mn-lt"/>
              <a:ea typeface="+mn-ea"/>
              <a:cs typeface="+mn-cs"/>
              <a:hlinkClick xmlns:r="http://schemas.openxmlformats.org/officeDocument/2006/relationships" r:id=""/>
            </a:rPr>
            <a:t>Redundant assets</a:t>
          </a:r>
          <a:r>
            <a:rPr lang="tr-TR" sz="1100" b="0" i="0">
              <a:solidFill>
                <a:schemeClr val="dk1"/>
              </a:solidFill>
              <a:effectLst/>
              <a:latin typeface="+mn-lt"/>
              <a:ea typeface="+mn-ea"/>
              <a:cs typeface="+mn-cs"/>
            </a:rPr>
            <a:t> are not used to run the business. Imagine that your business owns a lake cottage that is occasionally used for company functions or as an incentive for good performance among your employees. The cottage isn't really needed to run the business - it would be redundant to a buyer. Therefore, if the expenses related to this cottage have been paid for by the company, these expenses would be added back to normalize EBITDA.</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Owner Salaries and Bonuses </a:t>
          </a:r>
          <a:br>
            <a:rPr lang="tr-TR" sz="1100" b="1" i="0">
              <a:solidFill>
                <a:schemeClr val="dk1"/>
              </a:solidFill>
              <a:effectLst/>
              <a:latin typeface="+mn-lt"/>
              <a:ea typeface="+mn-ea"/>
              <a:cs typeface="+mn-cs"/>
            </a:rPr>
          </a:br>
          <a:r>
            <a:rPr lang="tr-TR" sz="1100" b="0" i="0">
              <a:solidFill>
                <a:schemeClr val="dk1"/>
              </a:solidFill>
              <a:effectLst/>
              <a:latin typeface="+mn-lt"/>
              <a:ea typeface="+mn-ea"/>
              <a:cs typeface="+mn-cs"/>
            </a:rPr>
            <a:t>Owner salaries are often higher or lower than the regular salary that would be paid to a third-party manager. Also, when owners manage the business, a bonus may be declared at the end of the year to reduce income taxes. This bonus and any extraordinary owner salaries need to be added back to calculate recurring EBITDA. An estimate of the third-party manager compensation would be deducted. The typical result, particularly if large year-end owner bonuses have been paid, is an increase in EBITDA. </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Rent of Facilities at Prices Above or Below Fair Market Value </a:t>
          </a:r>
          <a:br>
            <a:rPr lang="tr-TR" sz="1100" b="1" i="0">
              <a:solidFill>
                <a:schemeClr val="dk1"/>
              </a:solidFill>
              <a:effectLst/>
              <a:latin typeface="+mn-lt"/>
              <a:ea typeface="+mn-ea"/>
              <a:cs typeface="+mn-cs"/>
            </a:rPr>
          </a:br>
          <a:r>
            <a:rPr lang="tr-TR" sz="1100" b="0" i="0">
              <a:solidFill>
                <a:schemeClr val="dk1"/>
              </a:solidFill>
              <a:effectLst/>
              <a:latin typeface="+mn-lt"/>
              <a:ea typeface="+mn-ea"/>
              <a:cs typeface="+mn-cs"/>
            </a:rPr>
            <a:t>Many companies do not own the facilities they occupy, but instead rent them from a holding company owned by a shareholder. This is similar to related party transactions that need to be adjusted, but I single it out as a separate point given how frequently it occurs. The rent is often arbitrarily set above the going market rent. EBITDA would be adjusted upwards by adding back the arbitrary, non-arms-length rent and subtracting the true market rent.</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Start-Up Costs</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a:solidFill>
                <a:schemeClr val="dk1"/>
              </a:solidFill>
              <a:effectLst/>
              <a:latin typeface="+mn-lt"/>
              <a:ea typeface="+mn-ea"/>
              <a:cs typeface="+mn-cs"/>
            </a:rPr>
            <a:t>If a new business line has been launched during the period when the historical results are being analyzed, the associated start-up costs should be added back to EBITDA. This is because the costs are sunk and will not be incurred going forward. </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Lawsuits, Arbitrations, Insurance Claim Recoveries and One-Time Disputes</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a:solidFill>
                <a:schemeClr val="dk1"/>
              </a:solidFill>
              <a:effectLst/>
              <a:latin typeface="+mn-lt"/>
              <a:ea typeface="+mn-ea"/>
              <a:cs typeface="+mn-cs"/>
            </a:rPr>
            <a:t>Any extraordinary income or expenses that may have been settled during the review period would not recur. Therefore, they would be deducted (in the case of income such as an insurance claim recovery) or added back (in the case of an expense such as a lawsuit settlement). </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One Time Professional Fees</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a:solidFill>
                <a:schemeClr val="dk1"/>
              </a:solidFill>
              <a:effectLst/>
              <a:latin typeface="+mn-lt"/>
              <a:ea typeface="+mn-ea"/>
              <a:cs typeface="+mn-cs"/>
            </a:rPr>
            <a:t>Look out for expenses incurred that relate to matters that do not recur in the future. An example is legal fees a business may incur in settling a legal dispute. Not only would you add the settlement expense back to EBITDA, but you would also add back the related legal expenses. The same applies for accounting fees on special transactions or marketing costs if you did a one-time marketing campaign. </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Repairs and Maintenance</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a:solidFill>
                <a:schemeClr val="dk1"/>
              </a:solidFill>
              <a:effectLst/>
              <a:latin typeface="+mn-lt"/>
              <a:ea typeface="+mn-ea"/>
              <a:cs typeface="+mn-cs"/>
            </a:rPr>
            <a:t>One of the most overlooked categories to review is repairs and maintenance. Often, private business owners will aggressively categorize capital expenses as repairs in order to minimize taxes. While this practice may reduce annual taxes, it will hurt the valuation when the business is sold by reducing historical EBITDA. Therefore, an adequate review to separate and add any of these capital items back to EBITDA is a must. </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Inventories</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a:solidFill>
                <a:schemeClr val="dk1"/>
              </a:solidFill>
              <a:effectLst/>
              <a:latin typeface="+mn-lt"/>
              <a:ea typeface="+mn-ea"/>
              <a:cs typeface="+mn-cs"/>
            </a:rPr>
            <a:t>If your company provides services using equipment, there is usually parts inventory on hand. Often, private business owners will carry a general allowance of parts inventory throughout the year (say $25,000 for a small warehouse). Like capital purchases, parts acquired during the year are also expensed to minimize income for tax purposes. If there is more inventory than the general allowance being carried, it would be smart to count and value this inventory as close to the time the business is sold as possible. Any excess over the carried allowance of $25,000 would be added back to EBITDA in order to account for the actual inventory value carried.</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Other Income and Expenses</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a:solidFill>
                <a:schemeClr val="dk1"/>
              </a:solidFill>
              <a:effectLst/>
              <a:latin typeface="+mn-lt"/>
              <a:ea typeface="+mn-ea"/>
              <a:cs typeface="+mn-cs"/>
            </a:rPr>
            <a:t>This financial statement category is usually loaded with items that may be added back to EBITDA. It is also sometimes the dumping ground for expenses that cannot be coded elsewhere. Pay careful attention to these accounts, and make sure that anything that is not recurring gets added back. For example, some companies record one-time employee bonuses or special donation expenses in this category. These should definitely be added back to EBITDA</a:t>
          </a:r>
        </a:p>
        <a:p>
          <a:endParaRPr lang="tr-TR"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2060462</xdr:colOff>
      <xdr:row>73</xdr:row>
      <xdr:rowOff>39413</xdr:rowOff>
    </xdr:from>
    <xdr:to>
      <xdr:col>12</xdr:col>
      <xdr:colOff>162033</xdr:colOff>
      <xdr:row>97</xdr:row>
      <xdr:rowOff>48173</xdr:rowOff>
    </xdr:to>
    <xdr:sp macro="" textlink="">
      <xdr:nvSpPr>
        <xdr:cNvPr id="2" name="Metin kutusu 1">
          <a:extLst>
            <a:ext uri="{FF2B5EF4-FFF2-40B4-BE49-F238E27FC236}">
              <a16:creationId xmlns:a16="http://schemas.microsoft.com/office/drawing/2014/main" id="{00000000-0008-0000-0700-000002000000}"/>
            </a:ext>
          </a:extLst>
        </xdr:cNvPr>
        <xdr:cNvSpPr txBox="1"/>
      </xdr:nvSpPr>
      <xdr:spPr>
        <a:xfrm>
          <a:off x="2502422" y="13039133"/>
          <a:ext cx="7016971" cy="4397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r-TR" sz="1100" b="0" i="0">
              <a:solidFill>
                <a:schemeClr val="dk1"/>
              </a:solidFill>
              <a:effectLst/>
              <a:latin typeface="+mn-lt"/>
              <a:ea typeface="+mn-ea"/>
              <a:cs typeface="+mn-cs"/>
            </a:rPr>
            <a:t>B. </a:t>
          </a:r>
          <a:r>
            <a:rPr lang="tr-TR" sz="1100" b="0" i="1">
              <a:solidFill>
                <a:schemeClr val="dk1"/>
              </a:solidFill>
              <a:effectLst/>
              <a:latin typeface="+mn-lt"/>
              <a:ea typeface="+mn-ea"/>
              <a:cs typeface="+mn-cs"/>
            </a:rPr>
            <a:t>Advanced Approach</a:t>
          </a:r>
          <a:r>
            <a:rPr lang="tr-TR" sz="1100" b="0" i="0">
              <a:solidFill>
                <a:schemeClr val="dk1"/>
              </a:solidFill>
              <a:effectLst/>
              <a:latin typeface="+mn-lt"/>
              <a:ea typeface="+mn-ea"/>
              <a:cs typeface="+mn-cs"/>
            </a:rPr>
            <a:t>. In this approach, we make a number of detailed adjustments.</a:t>
          </a:r>
        </a:p>
        <a:p>
          <a:r>
            <a:rPr lang="tr-TR" sz="1100" b="1">
              <a:solidFill>
                <a:srgbClr val="FF0000"/>
              </a:solidFill>
              <a:latin typeface="+mn-lt"/>
              <a:ea typeface="+mn-ea"/>
              <a:cs typeface="+mn-cs"/>
            </a:rPr>
            <a:t>1. </a:t>
          </a:r>
          <a:r>
            <a:rPr lang="tr-TR" sz="1100" b="1" i="1">
              <a:solidFill>
                <a:srgbClr val="FF0000"/>
              </a:solidFill>
              <a:latin typeface="+mn-lt"/>
              <a:ea typeface="+mn-ea"/>
              <a:cs typeface="+mn-cs"/>
            </a:rPr>
            <a:t>Book taxes</a:t>
          </a:r>
          <a:r>
            <a:rPr lang="tr-TR" sz="1100">
              <a:solidFill>
                <a:schemeClr val="dk1"/>
              </a:solidFill>
              <a:latin typeface="+mn-lt"/>
              <a:ea typeface="+mn-ea"/>
              <a:cs typeface="+mn-cs"/>
            </a:rPr>
            <a:t>. We start with a company's income tax provision found on the income statement.</a:t>
          </a:r>
          <a:endParaRPr lang="tr-TR"/>
        </a:p>
        <a:p>
          <a:r>
            <a:rPr lang="tr-TR" sz="1100" b="1">
              <a:solidFill>
                <a:srgbClr val="FF0000"/>
              </a:solidFill>
              <a:latin typeface="+mn-lt"/>
              <a:ea typeface="+mn-ea"/>
              <a:cs typeface="+mn-cs"/>
            </a:rPr>
            <a:t>2. </a:t>
          </a:r>
          <a:r>
            <a:rPr lang="tr-TR" sz="1100" b="1" i="1">
              <a:solidFill>
                <a:srgbClr val="FF0000"/>
              </a:solidFill>
              <a:latin typeface="+mn-lt"/>
              <a:ea typeface="+mn-ea"/>
              <a:cs typeface="+mn-cs"/>
            </a:rPr>
            <a:t>Change in deferred taxes</a:t>
          </a:r>
          <a:r>
            <a:rPr lang="tr-TR" sz="1100">
              <a:solidFill>
                <a:schemeClr val="dk1"/>
              </a:solidFill>
              <a:latin typeface="+mn-lt"/>
              <a:ea typeface="+mn-ea"/>
              <a:cs typeface="+mn-cs"/>
            </a:rPr>
            <a:t>. Next, we </a:t>
          </a:r>
          <a:r>
            <a:rPr lang="tr-TR" sz="1100" i="1">
              <a:solidFill>
                <a:schemeClr val="dk1"/>
              </a:solidFill>
              <a:latin typeface="+mn-lt"/>
              <a:ea typeface="+mn-ea"/>
              <a:cs typeface="+mn-cs"/>
            </a:rPr>
            <a:t>add </a:t>
          </a:r>
          <a:r>
            <a:rPr lang="tr-TR" sz="1100">
              <a:solidFill>
                <a:schemeClr val="dk1"/>
              </a:solidFill>
              <a:latin typeface="+mn-lt"/>
              <a:ea typeface="+mn-ea"/>
              <a:cs typeface="+mn-cs"/>
            </a:rPr>
            <a:t>the year-to-year increase in a company's deferred income tax </a:t>
          </a:r>
          <a:r>
            <a:rPr lang="tr-TR" sz="1100" i="1">
              <a:solidFill>
                <a:schemeClr val="dk1"/>
              </a:solidFill>
              <a:latin typeface="+mn-lt"/>
              <a:ea typeface="+mn-ea"/>
              <a:cs typeface="+mn-cs"/>
            </a:rPr>
            <a:t>liability </a:t>
          </a:r>
          <a:r>
            <a:rPr lang="tr-TR" sz="1100">
              <a:solidFill>
                <a:schemeClr val="dk1"/>
              </a:solidFill>
              <a:latin typeface="+mn-lt"/>
              <a:ea typeface="+mn-ea"/>
              <a:cs typeface="+mn-cs"/>
            </a:rPr>
            <a:t>(or </a:t>
          </a:r>
          <a:r>
            <a:rPr lang="tr-TR" sz="1100" i="1">
              <a:solidFill>
                <a:schemeClr val="dk1"/>
              </a:solidFill>
              <a:latin typeface="+mn-lt"/>
              <a:ea typeface="+mn-ea"/>
              <a:cs typeface="+mn-cs"/>
            </a:rPr>
            <a:t>subtract </a:t>
          </a:r>
          <a:r>
            <a:rPr lang="tr-TR" sz="1100">
              <a:solidFill>
                <a:schemeClr val="dk1"/>
              </a:solidFill>
              <a:latin typeface="+mn-lt"/>
              <a:ea typeface="+mn-ea"/>
              <a:cs typeface="+mn-cs"/>
            </a:rPr>
            <a:t>the increase in a company's deferred tax</a:t>
          </a:r>
          <a:r>
            <a:rPr lang="tr-TR" sz="1100" i="1">
              <a:solidFill>
                <a:schemeClr val="dk1"/>
              </a:solidFill>
              <a:latin typeface="+mn-lt"/>
              <a:ea typeface="+mn-ea"/>
              <a:cs typeface="+mn-cs"/>
            </a:rPr>
            <a:t>asset</a:t>
          </a:r>
          <a:r>
            <a:rPr lang="tr-TR" sz="1100">
              <a:solidFill>
                <a:schemeClr val="dk1"/>
              </a:solidFill>
              <a:latin typeface="+mn-lt"/>
              <a:ea typeface="+mn-ea"/>
              <a:cs typeface="+mn-cs"/>
            </a:rPr>
            <a:t>). These line items can be found on a company's balance sheet. However, sometimes, this liability is not separately broken out. In those cases, there are two alternate sources for a company's change in deferred taxes:</a:t>
          </a:r>
          <a:endParaRPr lang="tr-TR"/>
        </a:p>
        <a:p>
          <a:r>
            <a:rPr lang="tr-TR" sz="1100" i="1">
              <a:solidFill>
                <a:schemeClr val="dk1"/>
              </a:solidFill>
              <a:latin typeface="+mn-lt"/>
              <a:ea typeface="+mn-ea"/>
              <a:cs typeface="+mn-cs"/>
            </a:rPr>
            <a:t>"Adjustments to reconcile net income to net cash provided by operating activities" in the "Cash flows from operating activities" section of the Cash Flow Statement</a:t>
          </a:r>
          <a:r>
            <a:rPr lang="tr-TR" sz="1100">
              <a:solidFill>
                <a:schemeClr val="dk1"/>
              </a:solidFill>
              <a:latin typeface="+mn-lt"/>
              <a:ea typeface="+mn-ea"/>
              <a:cs typeface="+mn-cs"/>
            </a:rPr>
            <a:t>.  A deferred tax liability occurs when a company pays less in cash taxes than it reports in book taxes. Thus, an increase in a company's deferred tax </a:t>
          </a:r>
          <a:r>
            <a:rPr lang="tr-TR" sz="1100" i="1">
              <a:solidFill>
                <a:schemeClr val="dk1"/>
              </a:solidFill>
              <a:latin typeface="+mn-lt"/>
              <a:ea typeface="+mn-ea"/>
              <a:cs typeface="+mn-cs"/>
            </a:rPr>
            <a:t>liability </a:t>
          </a:r>
          <a:r>
            <a:rPr lang="tr-TR" sz="1100">
              <a:solidFill>
                <a:schemeClr val="dk1"/>
              </a:solidFill>
              <a:latin typeface="+mn-lt"/>
              <a:ea typeface="+mn-ea"/>
              <a:cs typeface="+mn-cs"/>
            </a:rPr>
            <a:t>represents a </a:t>
          </a:r>
          <a:r>
            <a:rPr lang="tr-TR" sz="1100" i="1">
              <a:solidFill>
                <a:schemeClr val="dk1"/>
              </a:solidFill>
              <a:latin typeface="+mn-lt"/>
              <a:ea typeface="+mn-ea"/>
              <a:cs typeface="+mn-cs"/>
            </a:rPr>
            <a:t>source </a:t>
          </a:r>
          <a:r>
            <a:rPr lang="tr-TR" sz="1100">
              <a:solidFill>
                <a:schemeClr val="dk1"/>
              </a:solidFill>
              <a:latin typeface="+mn-lt"/>
              <a:ea typeface="+mn-ea"/>
              <a:cs typeface="+mn-cs"/>
            </a:rPr>
            <a:t>of cash. Conversely, a deferred tax asset occurs when a company pays more in cash taxes than it reports in book taxes. Thus, an increase in a company's deferred tax </a:t>
          </a:r>
          <a:r>
            <a:rPr lang="tr-TR" sz="1100" i="1">
              <a:solidFill>
                <a:schemeClr val="dk1"/>
              </a:solidFill>
              <a:latin typeface="+mn-lt"/>
              <a:ea typeface="+mn-ea"/>
              <a:cs typeface="+mn-cs"/>
            </a:rPr>
            <a:t>asset </a:t>
          </a:r>
          <a:r>
            <a:rPr lang="tr-TR" sz="1100">
              <a:solidFill>
                <a:schemeClr val="dk1"/>
              </a:solidFill>
              <a:latin typeface="+mn-lt"/>
              <a:ea typeface="+mn-ea"/>
              <a:cs typeface="+mn-cs"/>
            </a:rPr>
            <a:t>represents a </a:t>
          </a:r>
          <a:r>
            <a:rPr lang="tr-TR" sz="1100" i="1">
              <a:solidFill>
                <a:schemeClr val="dk1"/>
              </a:solidFill>
              <a:latin typeface="+mn-lt"/>
              <a:ea typeface="+mn-ea"/>
              <a:cs typeface="+mn-cs"/>
            </a:rPr>
            <a:t>use </a:t>
          </a:r>
          <a:r>
            <a:rPr lang="tr-TR" sz="1100">
              <a:solidFill>
                <a:schemeClr val="dk1"/>
              </a:solidFill>
              <a:latin typeface="+mn-lt"/>
              <a:ea typeface="+mn-ea"/>
              <a:cs typeface="+mn-cs"/>
            </a:rPr>
            <a:t>of cash.</a:t>
          </a:r>
          <a:endParaRPr lang="tr-TR"/>
        </a:p>
        <a:p>
          <a:r>
            <a:rPr lang="tr-TR" sz="1100" i="1">
              <a:solidFill>
                <a:schemeClr val="dk1"/>
              </a:solidFill>
              <a:latin typeface="+mn-lt"/>
              <a:ea typeface="+mn-ea"/>
              <a:cs typeface="+mn-cs"/>
            </a:rPr>
            <a:t>The Income Taxes section of the Notes to the Consolidated Financial Statements, where the 10-K will list the "components of the provision for income taxes"</a:t>
          </a:r>
          <a:r>
            <a:rPr lang="tr-TR" sz="1100">
              <a:solidFill>
                <a:schemeClr val="dk1"/>
              </a:solidFill>
              <a:latin typeface="+mn-lt"/>
              <a:ea typeface="+mn-ea"/>
              <a:cs typeface="+mn-cs"/>
            </a:rPr>
            <a:t>. We subtract the sum of the annual U.S. and Foreign deferred income taxes from a company's income tax provision. When annual U.S. and foreign deferred taxes are positive, the company has increased its net deferred tax liability, which reduces the tax onus. Conversely, when annual U.S. and foreign deferred taxes are negative, the company has increased its net deferred tax asset, which increases the tax onus. (Note: the sum of U.S. and Foreign deferred income taxes should be identical to the number in the Cash Flow Statement.)</a:t>
          </a:r>
          <a:endParaRPr lang="tr-TR"/>
        </a:p>
        <a:p>
          <a:r>
            <a:rPr lang="tr-TR" sz="1100" b="1">
              <a:solidFill>
                <a:srgbClr val="FF0000"/>
              </a:solidFill>
              <a:latin typeface="+mn-lt"/>
              <a:ea typeface="+mn-ea"/>
              <a:cs typeface="+mn-cs"/>
            </a:rPr>
            <a:t>3. </a:t>
          </a:r>
          <a:r>
            <a:rPr lang="tr-TR" sz="1100" b="1" i="1">
              <a:solidFill>
                <a:srgbClr val="FF0000"/>
              </a:solidFill>
              <a:latin typeface="+mn-lt"/>
              <a:ea typeface="+mn-ea"/>
              <a:cs typeface="+mn-cs"/>
            </a:rPr>
            <a:t>"Unlevering" income taxes</a:t>
          </a:r>
          <a:r>
            <a:rPr lang="tr-TR" sz="1100">
              <a:solidFill>
                <a:schemeClr val="dk1"/>
              </a:solidFill>
              <a:latin typeface="+mn-lt"/>
              <a:ea typeface="+mn-ea"/>
              <a:cs typeface="+mn-cs"/>
            </a:rPr>
            <a:t>. Finally, we remove taxes paid (in the case of positive interest income) or add back taxes shielded by debt (in the case of interest expense). For example, if a company had $100 million in interest income and an estimated 35% marginal tax rate, we would subtract $35 million. If a company had $100 million interest expense, we would add back $35 million in taxes (that would have been paid if that interest expense had not shielded the company from paying taxes).</a:t>
          </a:r>
          <a:endParaRPr lang="tr-TR"/>
        </a:p>
        <a:p>
          <a:endParaRPr lang="tr-TR" sz="1100"/>
        </a:p>
      </xdr:txBody>
    </xdr:sp>
    <xdr:clientData/>
  </xdr:twoCellAnchor>
  <xdr:twoCellAnchor>
    <xdr:from>
      <xdr:col>20</xdr:col>
      <xdr:colOff>504543</xdr:colOff>
      <xdr:row>25</xdr:row>
      <xdr:rowOff>49081</xdr:rowOff>
    </xdr:from>
    <xdr:to>
      <xdr:col>31</xdr:col>
      <xdr:colOff>611605</xdr:colOff>
      <xdr:row>106</xdr:row>
      <xdr:rowOff>44832</xdr:rowOff>
    </xdr:to>
    <xdr:sp macro="" textlink="">
      <xdr:nvSpPr>
        <xdr:cNvPr id="3" name="Metin kutusu 2">
          <a:extLst>
            <a:ext uri="{FF2B5EF4-FFF2-40B4-BE49-F238E27FC236}">
              <a16:creationId xmlns:a16="http://schemas.microsoft.com/office/drawing/2014/main" id="{00000000-0008-0000-0700-000003000000}"/>
            </a:ext>
          </a:extLst>
        </xdr:cNvPr>
        <xdr:cNvSpPr txBox="1"/>
      </xdr:nvSpPr>
      <xdr:spPr>
        <a:xfrm>
          <a:off x="13946223" y="4628701"/>
          <a:ext cx="6980302" cy="144508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r-TR" sz="1100" b="1" u="sng"/>
            <a:t>EBITDA Adjustment</a:t>
          </a:r>
          <a:r>
            <a:rPr lang="tr-TR" sz="1100"/>
            <a:t>:</a:t>
          </a:r>
        </a:p>
        <a:p>
          <a:r>
            <a:rPr lang="tr-TR" sz="1100" b="1" i="0">
              <a:solidFill>
                <a:schemeClr val="dk1"/>
              </a:solidFill>
              <a:effectLst/>
              <a:latin typeface="+mn-lt"/>
              <a:ea typeface="+mn-ea"/>
              <a:cs typeface="+mn-cs"/>
            </a:rPr>
            <a:t>Adjust EBITDA for any normalizing or non recurring items</a:t>
          </a:r>
        </a:p>
        <a:p>
          <a:r>
            <a:rPr lang="tr-TR" sz="1100" b="0" i="0">
              <a:solidFill>
                <a:schemeClr val="dk1"/>
              </a:solidFill>
              <a:effectLst/>
              <a:latin typeface="+mn-lt"/>
              <a:ea typeface="+mn-ea"/>
              <a:cs typeface="+mn-cs"/>
            </a:rPr>
            <a:t>EBITDA will need to be </a:t>
          </a:r>
          <a:r>
            <a:rPr lang="tr-TR" sz="1100" b="0" i="0" u="sng">
              <a:solidFill>
                <a:schemeClr val="dk1"/>
              </a:solidFill>
              <a:effectLst/>
              <a:latin typeface="+mn-lt"/>
              <a:ea typeface="+mn-ea"/>
              <a:cs typeface="+mn-cs"/>
              <a:hlinkClick xmlns:r="http://schemas.openxmlformats.org/officeDocument/2006/relationships" r:id=""/>
            </a:rPr>
            <a:t>normalized</a:t>
          </a:r>
          <a:r>
            <a:rPr lang="tr-TR" sz="1100" b="0" i="0">
              <a:solidFill>
                <a:schemeClr val="dk1"/>
              </a:solidFill>
              <a:effectLst/>
              <a:latin typeface="+mn-lt"/>
              <a:ea typeface="+mn-ea"/>
              <a:cs typeface="+mn-cs"/>
            </a:rPr>
            <a:t> for any items that fall under one of the following scenarios:</a:t>
          </a:r>
        </a:p>
        <a:p>
          <a:r>
            <a:rPr lang="tr-TR" sz="1100" b="0" i="0">
              <a:solidFill>
                <a:schemeClr val="dk1"/>
              </a:solidFill>
              <a:effectLst/>
              <a:latin typeface="+mn-lt"/>
              <a:ea typeface="+mn-ea"/>
              <a:cs typeface="+mn-cs"/>
            </a:rPr>
            <a:t>1-) One-time expenses or revenues not expected to occur each year;</a:t>
          </a:r>
        </a:p>
        <a:p>
          <a:r>
            <a:rPr lang="tr-TR" sz="1100" b="0" i="0">
              <a:solidFill>
                <a:schemeClr val="dk1"/>
              </a:solidFill>
              <a:effectLst/>
              <a:latin typeface="+mn-lt"/>
              <a:ea typeface="+mn-ea"/>
              <a:cs typeface="+mn-cs"/>
            </a:rPr>
            <a:t>2-) Amounts that have not been recorded in the financial statements at fair market value; and</a:t>
          </a:r>
        </a:p>
        <a:p>
          <a:r>
            <a:rPr lang="tr-TR" sz="1100" b="0" i="0">
              <a:solidFill>
                <a:schemeClr val="dk1"/>
              </a:solidFill>
              <a:effectLst/>
              <a:latin typeface="+mn-lt"/>
              <a:ea typeface="+mn-ea"/>
              <a:cs typeface="+mn-cs"/>
            </a:rPr>
            <a:t>3-) Overly aggressive or conservative application of an accounting policy.</a:t>
          </a:r>
        </a:p>
        <a:p>
          <a:r>
            <a:rPr lang="tr-TR" sz="1100" b="0" i="0">
              <a:solidFill>
                <a:schemeClr val="dk1"/>
              </a:solidFill>
              <a:effectLst/>
              <a:latin typeface="+mn-lt"/>
              <a:ea typeface="+mn-ea"/>
              <a:cs typeface="+mn-cs"/>
            </a:rPr>
            <a:t>Read our article on </a:t>
          </a:r>
          <a:r>
            <a:rPr lang="tr-TR" sz="1100" b="0" i="0" u="sng">
              <a:solidFill>
                <a:schemeClr val="dk1"/>
              </a:solidFill>
              <a:effectLst/>
              <a:latin typeface="+mn-lt"/>
              <a:ea typeface="+mn-ea"/>
              <a:cs typeface="+mn-cs"/>
              <a:hlinkClick xmlns:r="http://schemas.openxmlformats.org/officeDocument/2006/relationships" r:id=""/>
            </a:rPr>
            <a:t>the Top 10 EBITDA Adjustment to Make Before Selling a Business</a:t>
          </a:r>
          <a:r>
            <a:rPr lang="tr-TR" sz="1100" b="0" i="0">
              <a:solidFill>
                <a:schemeClr val="dk1"/>
              </a:solidFill>
              <a:effectLst/>
              <a:latin typeface="+mn-lt"/>
              <a:ea typeface="+mn-ea"/>
              <a:cs typeface="+mn-cs"/>
            </a:rPr>
            <a:t> to get an better sense of what can be added back or deducted in your template.</a:t>
          </a:r>
        </a:p>
        <a:p>
          <a:endParaRPr lang="tr-TR" sz="1100"/>
        </a:p>
        <a:p>
          <a:r>
            <a:rPr lang="tr-TR" sz="1100" b="1" i="0">
              <a:solidFill>
                <a:schemeClr val="dk1"/>
              </a:solidFill>
              <a:effectLst/>
              <a:latin typeface="+mn-lt"/>
              <a:ea typeface="+mn-ea"/>
              <a:cs typeface="+mn-cs"/>
            </a:rPr>
            <a:t>Top 10 EBITDA Adjustments</a:t>
          </a:r>
        </a:p>
        <a:p>
          <a:r>
            <a:rPr lang="tr-TR" sz="1100" b="0" i="0">
              <a:solidFill>
                <a:schemeClr val="dk1"/>
              </a:solidFill>
              <a:effectLst/>
              <a:latin typeface="+mn-lt"/>
              <a:ea typeface="+mn-ea"/>
              <a:cs typeface="+mn-cs"/>
            </a:rPr>
            <a:t>So how exactly can you normalize EBITDA? Here are 10 of the best normalizing adjustments (in no particular order). Remember that it's important to do these calculations </a:t>
          </a:r>
          <a:r>
            <a:rPr lang="tr-TR" sz="1100" b="0" i="1">
              <a:solidFill>
                <a:schemeClr val="dk1"/>
              </a:solidFill>
              <a:effectLst/>
              <a:latin typeface="+mn-lt"/>
              <a:ea typeface="+mn-ea"/>
              <a:cs typeface="+mn-cs"/>
            </a:rPr>
            <a:t>before </a:t>
          </a:r>
          <a:r>
            <a:rPr lang="tr-TR" sz="1100" b="0" i="0">
              <a:solidFill>
                <a:schemeClr val="dk1"/>
              </a:solidFill>
              <a:effectLst/>
              <a:latin typeface="+mn-lt"/>
              <a:ea typeface="+mn-ea"/>
              <a:cs typeface="+mn-cs"/>
            </a:rPr>
            <a:t>you put your business up for sale. At the very least, it should save you money when you hire an investment banker to market your company. </a:t>
          </a:r>
          <a:r>
            <a:rPr lang="tr-TR"/>
            <a:t/>
          </a:r>
          <a:br>
            <a:rPr lang="tr-TR"/>
          </a:br>
          <a:r>
            <a:rPr lang="tr-TR"/>
            <a:t/>
          </a:r>
          <a:br>
            <a:rPr lang="tr-TR"/>
          </a:br>
          <a:r>
            <a:rPr lang="tr-TR" sz="1100" b="1" i="0">
              <a:solidFill>
                <a:schemeClr val="dk1"/>
              </a:solidFill>
              <a:effectLst/>
              <a:latin typeface="+mn-lt"/>
              <a:ea typeface="+mn-ea"/>
              <a:cs typeface="+mn-cs"/>
            </a:rPr>
            <a:t>Non-Arms-Length Revenue or Expenses</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a:solidFill>
                <a:schemeClr val="dk1"/>
              </a:solidFill>
              <a:effectLst/>
              <a:latin typeface="+mn-lt"/>
              <a:ea typeface="+mn-ea"/>
              <a:cs typeface="+mn-cs"/>
            </a:rPr>
            <a:t>This refers to a company that enters into transactions with related parties at a price that is lower or higher than market rates. An example would be if your operating company buys supplies from another company owned by a major shareholder at prices higher than market value. When your operating company goes up for sale, you would normalize EBITDA to reflect the fair market value of these supplies. </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Revenue or Expenses Generated by Redundant Assets</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u="sng">
              <a:solidFill>
                <a:schemeClr val="dk1"/>
              </a:solidFill>
              <a:effectLst/>
              <a:latin typeface="+mn-lt"/>
              <a:ea typeface="+mn-ea"/>
              <a:cs typeface="+mn-cs"/>
              <a:hlinkClick xmlns:r="http://schemas.openxmlformats.org/officeDocument/2006/relationships" r:id=""/>
            </a:rPr>
            <a:t>Redundant assets</a:t>
          </a:r>
          <a:r>
            <a:rPr lang="tr-TR" sz="1100" b="0" i="0">
              <a:solidFill>
                <a:schemeClr val="dk1"/>
              </a:solidFill>
              <a:effectLst/>
              <a:latin typeface="+mn-lt"/>
              <a:ea typeface="+mn-ea"/>
              <a:cs typeface="+mn-cs"/>
            </a:rPr>
            <a:t> are not used to run the business. Imagine that your business owns a lake cottage that is occasionally used for company functions or as an incentive for good performance among your employees. The cottage isn't really needed to run the business - it would be redundant to a buyer. Therefore, if the expenses related to this cottage have been paid for by the company, these expenses would be added back to normalize EBITDA.</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Owner Salaries and Bonuses </a:t>
          </a:r>
          <a:br>
            <a:rPr lang="tr-TR" sz="1100" b="1" i="0">
              <a:solidFill>
                <a:schemeClr val="dk1"/>
              </a:solidFill>
              <a:effectLst/>
              <a:latin typeface="+mn-lt"/>
              <a:ea typeface="+mn-ea"/>
              <a:cs typeface="+mn-cs"/>
            </a:rPr>
          </a:br>
          <a:r>
            <a:rPr lang="tr-TR" sz="1100" b="0" i="0">
              <a:solidFill>
                <a:schemeClr val="dk1"/>
              </a:solidFill>
              <a:effectLst/>
              <a:latin typeface="+mn-lt"/>
              <a:ea typeface="+mn-ea"/>
              <a:cs typeface="+mn-cs"/>
            </a:rPr>
            <a:t>Owner salaries are often higher or lower than the regular salary that would be paid to a third-party manager. Also, when owners manage the business, a bonus may be declared at the end of the year to reduce income taxes. This bonus and any extraordinary owner salaries need to be added back to calculate recurring EBITDA. An estimate of the third-party manager compensation would be deducted. The typical result, particularly if large year-end owner bonuses have been paid, is an increase in EBITDA. </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Rent of Facilities at Prices Above or Below Fair Market Value </a:t>
          </a:r>
          <a:br>
            <a:rPr lang="tr-TR" sz="1100" b="1" i="0">
              <a:solidFill>
                <a:schemeClr val="dk1"/>
              </a:solidFill>
              <a:effectLst/>
              <a:latin typeface="+mn-lt"/>
              <a:ea typeface="+mn-ea"/>
              <a:cs typeface="+mn-cs"/>
            </a:rPr>
          </a:br>
          <a:r>
            <a:rPr lang="tr-TR" sz="1100" b="0" i="0">
              <a:solidFill>
                <a:schemeClr val="dk1"/>
              </a:solidFill>
              <a:effectLst/>
              <a:latin typeface="+mn-lt"/>
              <a:ea typeface="+mn-ea"/>
              <a:cs typeface="+mn-cs"/>
            </a:rPr>
            <a:t>Many companies do not own the facilities they occupy, but instead rent them from a holding company owned by a shareholder. This is similar to related party transactions that need to be adjusted, but I single it out as a separate point given how frequently it occurs. The rent is often arbitrarily set above the going market rent. EBITDA would be adjusted upwards by adding back the arbitrary, non-arms-length rent and subtracting the true market rent.</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Start-Up Costs</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a:solidFill>
                <a:schemeClr val="dk1"/>
              </a:solidFill>
              <a:effectLst/>
              <a:latin typeface="+mn-lt"/>
              <a:ea typeface="+mn-ea"/>
              <a:cs typeface="+mn-cs"/>
            </a:rPr>
            <a:t>If a new business line has been launched during the period when the historical results are being analyzed, the associated start-up costs should be added back to EBITDA. This is because the costs are sunk and will not be incurred going forward. </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Lawsuits, Arbitrations, Insurance Claim Recoveries and One-Time Disputes</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a:solidFill>
                <a:schemeClr val="dk1"/>
              </a:solidFill>
              <a:effectLst/>
              <a:latin typeface="+mn-lt"/>
              <a:ea typeface="+mn-ea"/>
              <a:cs typeface="+mn-cs"/>
            </a:rPr>
            <a:t>Any extraordinary income or expenses that may have been settled during the review period would not recur. Therefore, they would be deducted (in the case of income such as an insurance claim recovery) or added back (in the case of an expense such as a lawsuit settlement). </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One Time Professional Fees</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a:solidFill>
                <a:schemeClr val="dk1"/>
              </a:solidFill>
              <a:effectLst/>
              <a:latin typeface="+mn-lt"/>
              <a:ea typeface="+mn-ea"/>
              <a:cs typeface="+mn-cs"/>
            </a:rPr>
            <a:t>Look out for expenses incurred that relate to matters that do not recur in the future. An example is legal fees a business may incur in settling a legal dispute. Not only would you add the settlement expense back to EBITDA, but you would also add back the related legal expenses. The same applies for accounting fees on special transactions or marketing costs if you did a one-time marketing campaign. </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Repairs and Maintenance</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a:solidFill>
                <a:schemeClr val="dk1"/>
              </a:solidFill>
              <a:effectLst/>
              <a:latin typeface="+mn-lt"/>
              <a:ea typeface="+mn-ea"/>
              <a:cs typeface="+mn-cs"/>
            </a:rPr>
            <a:t>One of the most overlooked categories to review is repairs and maintenance. Often, private business owners will aggressively categorize capital expenses as repairs in order to minimize taxes. While this practice may reduce annual taxes, it will hurt the valuation when the business is sold by reducing historical EBITDA. Therefore, an adequate review to separate and add any of these capital items back to EBITDA is a must. </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Inventories</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a:solidFill>
                <a:schemeClr val="dk1"/>
              </a:solidFill>
              <a:effectLst/>
              <a:latin typeface="+mn-lt"/>
              <a:ea typeface="+mn-ea"/>
              <a:cs typeface="+mn-cs"/>
            </a:rPr>
            <a:t>If your company provides services using equipment, there is usually parts inventory on hand. Often, private business owners will carry a general allowance of parts inventory throughout the year (say $25,000 for a small warehouse). Like capital purchases, parts acquired during the year are also expensed to minimize income for tax purposes. If there is more inventory than the general allowance being carried, it would be smart to count and value this inventory as close to the time the business is sold as possible. Any excess over the carried allowance of $25,000 would be added back to EBITDA in order to account for the actual inventory value carried.</a:t>
          </a:r>
          <a:br>
            <a:rPr lang="tr-TR" sz="1100" b="0" i="0">
              <a:solidFill>
                <a:schemeClr val="dk1"/>
              </a:solidFill>
              <a:effectLst/>
              <a:latin typeface="+mn-lt"/>
              <a:ea typeface="+mn-ea"/>
              <a:cs typeface="+mn-cs"/>
            </a:rPr>
          </a:br>
          <a:endParaRPr lang="tr-TR" sz="1100" b="0" i="0">
            <a:solidFill>
              <a:schemeClr val="dk1"/>
            </a:solidFill>
            <a:effectLst/>
            <a:latin typeface="+mn-lt"/>
            <a:ea typeface="+mn-ea"/>
            <a:cs typeface="+mn-cs"/>
          </a:endParaRPr>
        </a:p>
        <a:p>
          <a:r>
            <a:rPr lang="tr-TR" sz="1100" b="0" i="0">
              <a:solidFill>
                <a:schemeClr val="dk1"/>
              </a:solidFill>
              <a:effectLst/>
              <a:latin typeface="+mn-lt"/>
              <a:ea typeface="+mn-ea"/>
              <a:cs typeface="+mn-cs"/>
            </a:rPr>
            <a:t/>
          </a:r>
          <a:br>
            <a:rPr lang="tr-TR" sz="1100" b="0" i="0">
              <a:solidFill>
                <a:schemeClr val="dk1"/>
              </a:solidFill>
              <a:effectLst/>
              <a:latin typeface="+mn-lt"/>
              <a:ea typeface="+mn-ea"/>
              <a:cs typeface="+mn-cs"/>
            </a:rPr>
          </a:br>
          <a:r>
            <a:rPr lang="tr-TR" sz="1100" b="1" i="0">
              <a:solidFill>
                <a:schemeClr val="dk1"/>
              </a:solidFill>
              <a:effectLst/>
              <a:latin typeface="+mn-lt"/>
              <a:ea typeface="+mn-ea"/>
              <a:cs typeface="+mn-cs"/>
            </a:rPr>
            <a:t>Other Income and Expenses</a:t>
          </a:r>
          <a:r>
            <a:rPr lang="tr-TR" sz="1100" b="0" i="0">
              <a:solidFill>
                <a:schemeClr val="dk1"/>
              </a:solidFill>
              <a:effectLst/>
              <a:latin typeface="+mn-lt"/>
              <a:ea typeface="+mn-ea"/>
              <a:cs typeface="+mn-cs"/>
            </a:rPr>
            <a:t> </a:t>
          </a:r>
          <a:br>
            <a:rPr lang="tr-TR" sz="1100" b="0" i="0">
              <a:solidFill>
                <a:schemeClr val="dk1"/>
              </a:solidFill>
              <a:effectLst/>
              <a:latin typeface="+mn-lt"/>
              <a:ea typeface="+mn-ea"/>
              <a:cs typeface="+mn-cs"/>
            </a:rPr>
          </a:br>
          <a:r>
            <a:rPr lang="tr-TR" sz="1100" b="0" i="0">
              <a:solidFill>
                <a:schemeClr val="dk1"/>
              </a:solidFill>
              <a:effectLst/>
              <a:latin typeface="+mn-lt"/>
              <a:ea typeface="+mn-ea"/>
              <a:cs typeface="+mn-cs"/>
            </a:rPr>
            <a:t>This financial statement category is usually loaded with items that may be added back to EBITDA. It is also sometimes the dumping ground for expenses that cannot be coded elsewhere. Pay careful attention to these accounts, and make sure that anything that is not recurring gets added back. For example, some companies record one-time employee bonuses or special donation expenses in this category. These should definitely be added back to EBITDA</a:t>
          </a:r>
        </a:p>
        <a:p>
          <a:endParaRPr lang="tr-T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656487</xdr:colOff>
      <xdr:row>1</xdr:row>
      <xdr:rowOff>11616</xdr:rowOff>
    </xdr:from>
    <xdr:to>
      <xdr:col>22</xdr:col>
      <xdr:colOff>522714</xdr:colOff>
      <xdr:row>8</xdr:row>
      <xdr:rowOff>162622</xdr:rowOff>
    </xdr:to>
    <xdr:sp macro="" textlink="">
      <xdr:nvSpPr>
        <xdr:cNvPr id="2" name="Metin kutusu 1">
          <a:extLst>
            <a:ext uri="{FF2B5EF4-FFF2-40B4-BE49-F238E27FC236}">
              <a16:creationId xmlns:a16="http://schemas.microsoft.com/office/drawing/2014/main" id="{00000000-0008-0000-0A00-000002000000}"/>
            </a:ext>
          </a:extLst>
        </xdr:cNvPr>
        <xdr:cNvSpPr txBox="1"/>
      </xdr:nvSpPr>
      <xdr:spPr>
        <a:xfrm>
          <a:off x="10982981" y="302012"/>
          <a:ext cx="6835739" cy="2241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tr-TR" sz="1050" b="1">
              <a:latin typeface="Arial Unicode MS" panose="020B0604020202020204" pitchFamily="34" charset="-128"/>
              <a:ea typeface="Arial Unicode MS" panose="020B0604020202020204" pitchFamily="34" charset="-128"/>
              <a:cs typeface="Arial Unicode MS" panose="020B0604020202020204" pitchFamily="34" charset="-128"/>
            </a:rPr>
            <a:t>X</a:t>
          </a:r>
          <a:r>
            <a:rPr lang="tr-TR" sz="1050" b="1" baseline="-25000">
              <a:effectLst/>
              <a:latin typeface="Arial Unicode MS" panose="020B0604020202020204" pitchFamily="34" charset="-128"/>
              <a:ea typeface="Arial Unicode MS" panose="020B0604020202020204" pitchFamily="34" charset="-128"/>
              <a:cs typeface="Arial Unicode MS" panose="020B0604020202020204" pitchFamily="34" charset="-128"/>
            </a:rPr>
            <a:t>1</a:t>
          </a:r>
          <a:r>
            <a:rPr lang="tr-TR" sz="1050" b="1">
              <a:latin typeface="Arial Unicode MS" panose="020B0604020202020204" pitchFamily="34" charset="-128"/>
              <a:ea typeface="Arial Unicode MS" panose="020B0604020202020204" pitchFamily="34" charset="-128"/>
              <a:cs typeface="Arial Unicode MS" panose="020B0604020202020204" pitchFamily="34" charset="-128"/>
            </a:rPr>
            <a:t> = Working Capital / Total Assets. </a:t>
          </a:r>
          <a:r>
            <a:rPr lang="tr-TR" sz="1050">
              <a:latin typeface="Arial Unicode MS" panose="020B0604020202020204" pitchFamily="34" charset="-128"/>
              <a:ea typeface="Arial Unicode MS" panose="020B0604020202020204" pitchFamily="34" charset="-128"/>
              <a:cs typeface="Arial Unicode MS" panose="020B0604020202020204" pitchFamily="34" charset="-128"/>
            </a:rPr>
            <a:t>Measures liquid assets in relation to the size of the company.</a:t>
          </a:r>
        </a:p>
        <a:p>
          <a:pPr marL="0" marR="0" indent="0" defTabSz="914400" eaLnBrk="1" fontAlgn="auto" latinLnBrk="0" hangingPunct="1">
            <a:lnSpc>
              <a:spcPct val="100000"/>
            </a:lnSpc>
            <a:spcBef>
              <a:spcPts val="0"/>
            </a:spcBef>
            <a:spcAft>
              <a:spcPts val="0"/>
            </a:spcAft>
            <a:buClrTx/>
            <a:buSzTx/>
            <a:buFontTx/>
            <a:buNone/>
            <a:tabLst/>
            <a:defRPr/>
          </a:pPr>
          <a:r>
            <a:rPr lang="tr-TR" sz="1050" b="1">
              <a:latin typeface="Arial Unicode MS" panose="020B0604020202020204" pitchFamily="34" charset="-128"/>
              <a:ea typeface="Arial Unicode MS" panose="020B0604020202020204" pitchFamily="34" charset="-128"/>
              <a:cs typeface="Arial Unicode MS" panose="020B0604020202020204" pitchFamily="34" charset="-128"/>
            </a:rPr>
            <a:t>X</a:t>
          </a:r>
          <a:r>
            <a:rPr lang="tr-TR" sz="1050" b="1" baseline="-25000">
              <a:effectLst/>
              <a:latin typeface="Arial Unicode MS" panose="020B0604020202020204" pitchFamily="34" charset="-128"/>
              <a:ea typeface="Arial Unicode MS" panose="020B0604020202020204" pitchFamily="34" charset="-128"/>
              <a:cs typeface="Arial Unicode MS" panose="020B0604020202020204" pitchFamily="34" charset="-128"/>
            </a:rPr>
            <a:t>2</a:t>
          </a:r>
          <a:r>
            <a:rPr lang="tr-TR" sz="1050" b="1">
              <a:latin typeface="Arial Unicode MS" panose="020B0604020202020204" pitchFamily="34" charset="-128"/>
              <a:ea typeface="Arial Unicode MS" panose="020B0604020202020204" pitchFamily="34" charset="-128"/>
              <a:cs typeface="Arial Unicode MS" panose="020B0604020202020204" pitchFamily="34" charset="-128"/>
            </a:rPr>
            <a:t> = Retained Earnings / Total Assets.</a:t>
          </a:r>
          <a:r>
            <a:rPr lang="tr-TR" sz="1050">
              <a:latin typeface="Arial Unicode MS" panose="020B0604020202020204" pitchFamily="34" charset="-128"/>
              <a:ea typeface="Arial Unicode MS" panose="020B0604020202020204" pitchFamily="34" charset="-128"/>
              <a:cs typeface="Arial Unicode MS" panose="020B0604020202020204" pitchFamily="34" charset="-128"/>
            </a:rPr>
            <a:t> Measures profitability that reflects the company's age and earning power.</a:t>
          </a:r>
        </a:p>
        <a:p>
          <a:pPr marL="0" marR="0" indent="0" defTabSz="914400" eaLnBrk="1" fontAlgn="auto" latinLnBrk="0" hangingPunct="1">
            <a:lnSpc>
              <a:spcPct val="100000"/>
            </a:lnSpc>
            <a:spcBef>
              <a:spcPts val="0"/>
            </a:spcBef>
            <a:spcAft>
              <a:spcPts val="0"/>
            </a:spcAft>
            <a:buClrTx/>
            <a:buSzTx/>
            <a:buFontTx/>
            <a:buNone/>
            <a:tabLst/>
            <a:defRPr/>
          </a:pPr>
          <a:r>
            <a:rPr lang="tr-TR" sz="1050" b="1">
              <a:latin typeface="Arial Unicode MS" panose="020B0604020202020204" pitchFamily="34" charset="-128"/>
              <a:ea typeface="Arial Unicode MS" panose="020B0604020202020204" pitchFamily="34" charset="-128"/>
              <a:cs typeface="Arial Unicode MS" panose="020B0604020202020204" pitchFamily="34" charset="-128"/>
            </a:rPr>
            <a:t>X</a:t>
          </a:r>
          <a:r>
            <a:rPr lang="tr-TR" sz="1050" b="1" baseline="-25000">
              <a:effectLst/>
              <a:latin typeface="Arial Unicode MS" panose="020B0604020202020204" pitchFamily="34" charset="-128"/>
              <a:ea typeface="Arial Unicode MS" panose="020B0604020202020204" pitchFamily="34" charset="-128"/>
              <a:cs typeface="Arial Unicode MS" panose="020B0604020202020204" pitchFamily="34" charset="-128"/>
            </a:rPr>
            <a:t>3</a:t>
          </a:r>
          <a:r>
            <a:rPr lang="tr-TR" sz="1050" b="1">
              <a:latin typeface="Arial Unicode MS" panose="020B0604020202020204" pitchFamily="34" charset="-128"/>
              <a:ea typeface="Arial Unicode MS" panose="020B0604020202020204" pitchFamily="34" charset="-128"/>
              <a:cs typeface="Arial Unicode MS" panose="020B0604020202020204" pitchFamily="34" charset="-128"/>
            </a:rPr>
            <a:t> = Earnings Before Interest and Taxes / Total Assets. </a:t>
          </a:r>
          <a:r>
            <a:rPr lang="tr-TR" sz="1050">
              <a:latin typeface="Arial Unicode MS" panose="020B0604020202020204" pitchFamily="34" charset="-128"/>
              <a:ea typeface="Arial Unicode MS" panose="020B0604020202020204" pitchFamily="34" charset="-128"/>
              <a:cs typeface="Arial Unicode MS" panose="020B0604020202020204" pitchFamily="34" charset="-128"/>
            </a:rPr>
            <a:t>Measures operating efficiency apart from tax and leveraging factors. It recognizes operating earnings as being important to long-term viability.</a:t>
          </a:r>
        </a:p>
        <a:p>
          <a:pPr marL="0" marR="0" indent="0" defTabSz="914400" eaLnBrk="1" fontAlgn="auto" latinLnBrk="0" hangingPunct="1">
            <a:lnSpc>
              <a:spcPct val="100000"/>
            </a:lnSpc>
            <a:spcBef>
              <a:spcPts val="0"/>
            </a:spcBef>
            <a:spcAft>
              <a:spcPts val="0"/>
            </a:spcAft>
            <a:buClrTx/>
            <a:buSzTx/>
            <a:buFontTx/>
            <a:buNone/>
            <a:tabLst/>
            <a:defRPr/>
          </a:pPr>
          <a:r>
            <a:rPr lang="tr-TR" sz="1050" b="1">
              <a:latin typeface="Arial Unicode MS" panose="020B0604020202020204" pitchFamily="34" charset="-128"/>
              <a:ea typeface="Arial Unicode MS" panose="020B0604020202020204" pitchFamily="34" charset="-128"/>
              <a:cs typeface="Arial Unicode MS" panose="020B0604020202020204" pitchFamily="34" charset="-128"/>
            </a:rPr>
            <a:t>X</a:t>
          </a:r>
          <a:r>
            <a:rPr lang="tr-TR" sz="1050" b="1" baseline="-25000">
              <a:effectLst/>
              <a:latin typeface="Arial Unicode MS" panose="020B0604020202020204" pitchFamily="34" charset="-128"/>
              <a:ea typeface="Arial Unicode MS" panose="020B0604020202020204" pitchFamily="34" charset="-128"/>
              <a:cs typeface="Arial Unicode MS" panose="020B0604020202020204" pitchFamily="34" charset="-128"/>
            </a:rPr>
            <a:t>4</a:t>
          </a:r>
          <a:r>
            <a:rPr lang="tr-TR" sz="1050" b="1">
              <a:latin typeface="Arial Unicode MS" panose="020B0604020202020204" pitchFamily="34" charset="-128"/>
              <a:ea typeface="Arial Unicode MS" panose="020B0604020202020204" pitchFamily="34" charset="-128"/>
              <a:cs typeface="Arial Unicode MS" panose="020B0604020202020204" pitchFamily="34" charset="-128"/>
            </a:rPr>
            <a:t> = Market Value of Equity / Book Value of Total Liabilities</a:t>
          </a:r>
          <a:r>
            <a:rPr lang="tr-TR" sz="1050">
              <a:latin typeface="Arial Unicode MS" panose="020B0604020202020204" pitchFamily="34" charset="-128"/>
              <a:ea typeface="Arial Unicode MS" panose="020B0604020202020204" pitchFamily="34" charset="-128"/>
              <a:cs typeface="Arial Unicode MS" panose="020B0604020202020204" pitchFamily="34" charset="-128"/>
            </a:rPr>
            <a:t>. Adds market dimension that can show up security price fluctuation as a possible red flag.</a:t>
          </a:r>
        </a:p>
        <a:p>
          <a:pPr marL="0" marR="0" indent="0" defTabSz="914400" eaLnBrk="1" fontAlgn="auto" latinLnBrk="0" hangingPunct="1">
            <a:lnSpc>
              <a:spcPct val="100000"/>
            </a:lnSpc>
            <a:spcBef>
              <a:spcPts val="0"/>
            </a:spcBef>
            <a:spcAft>
              <a:spcPts val="0"/>
            </a:spcAft>
            <a:buClrTx/>
            <a:buSzTx/>
            <a:buFontTx/>
            <a:buNone/>
            <a:tabLst/>
            <a:defRPr/>
          </a:pPr>
          <a:r>
            <a:rPr lang="tr-TR" sz="1050" b="1">
              <a:latin typeface="Arial Unicode MS" panose="020B0604020202020204" pitchFamily="34" charset="-128"/>
              <a:ea typeface="Arial Unicode MS" panose="020B0604020202020204" pitchFamily="34" charset="-128"/>
              <a:cs typeface="Arial Unicode MS" panose="020B0604020202020204" pitchFamily="34" charset="-128"/>
            </a:rPr>
            <a:t>X</a:t>
          </a:r>
          <a:r>
            <a:rPr lang="tr-TR" sz="1050" b="1" baseline="-25000">
              <a:effectLst/>
              <a:latin typeface="Arial Unicode MS" panose="020B0604020202020204" pitchFamily="34" charset="-128"/>
              <a:ea typeface="Arial Unicode MS" panose="020B0604020202020204" pitchFamily="34" charset="-128"/>
              <a:cs typeface="Arial Unicode MS" panose="020B0604020202020204" pitchFamily="34" charset="-128"/>
            </a:rPr>
            <a:t>5</a:t>
          </a:r>
          <a:r>
            <a:rPr lang="tr-TR" sz="1050" b="1">
              <a:latin typeface="Arial Unicode MS" panose="020B0604020202020204" pitchFamily="34" charset="-128"/>
              <a:ea typeface="Arial Unicode MS" panose="020B0604020202020204" pitchFamily="34" charset="-128"/>
              <a:cs typeface="Arial Unicode MS" panose="020B0604020202020204" pitchFamily="34" charset="-128"/>
            </a:rPr>
            <a:t> = Sales / Total Assets. </a:t>
          </a:r>
          <a:r>
            <a:rPr lang="tr-TR" sz="1050">
              <a:latin typeface="Arial Unicode MS" panose="020B0604020202020204" pitchFamily="34" charset="-128"/>
              <a:ea typeface="Arial Unicode MS" panose="020B0604020202020204" pitchFamily="34" charset="-128"/>
              <a:cs typeface="Arial Unicode MS" panose="020B0604020202020204" pitchFamily="34" charset="-128"/>
            </a:rPr>
            <a:t>Standard measure for total asset turnover (varies greatly from industry to industry).</a:t>
          </a:r>
          <a:r>
            <a:rPr lang="tr-TR" sz="1050" b="0" i="0">
              <a:solidFill>
                <a:schemeClr val="dk1"/>
              </a:solidFill>
              <a:effectLst/>
              <a:latin typeface="Arial Unicode MS" panose="020B0604020202020204" pitchFamily="34" charset="-128"/>
              <a:ea typeface="Arial Unicode MS" panose="020B0604020202020204" pitchFamily="34" charset="-128"/>
              <a:cs typeface="Arial Unicode MS" panose="020B0604020202020204" pitchFamily="34" charset="-128"/>
            </a:rPr>
            <a:t>Altman found that the ratio profile for the bankrupt group fell at -0.25 avg, and for the non-bankrupt group at +4.48 avg.</a:t>
          </a:r>
        </a:p>
        <a:p>
          <a:endParaRPr lang="tr-TR" sz="1050">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21</xdr:col>
      <xdr:colOff>123826</xdr:colOff>
      <xdr:row>4</xdr:row>
      <xdr:rowOff>114300</xdr:rowOff>
    </xdr:from>
    <xdr:to>
      <xdr:col>26</xdr:col>
      <xdr:colOff>561976</xdr:colOff>
      <xdr:row>23</xdr:row>
      <xdr:rowOff>0</xdr:rowOff>
    </xdr:to>
    <xdr:sp macro="" textlink="">
      <xdr:nvSpPr>
        <xdr:cNvPr id="2" name="1 Metin kutusu">
          <a:extLst>
            <a:ext uri="{FF2B5EF4-FFF2-40B4-BE49-F238E27FC236}">
              <a16:creationId xmlns:a16="http://schemas.microsoft.com/office/drawing/2014/main" id="{00000000-0008-0000-1900-000002000000}"/>
            </a:ext>
          </a:extLst>
        </xdr:cNvPr>
        <xdr:cNvSpPr txBox="1"/>
      </xdr:nvSpPr>
      <xdr:spPr>
        <a:xfrm>
          <a:off x="12153901" y="952500"/>
          <a:ext cx="3486150" cy="4314826"/>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wrap="square" rtlCol="0" anchor="t"/>
        <a:lstStyle/>
        <a:p>
          <a:endParaRPr lang="tr-TR" sz="1050" b="1" u="sng" baseline="0">
            <a:solidFill>
              <a:srgbClr val="FF0000"/>
            </a:solidFill>
            <a:latin typeface="+mn-lt"/>
            <a:ea typeface="+mn-ea"/>
            <a:cs typeface="+mn-cs"/>
          </a:endParaRPr>
        </a:p>
        <a:p>
          <a:r>
            <a:rPr lang="tr-TR" sz="1050" b="1" u="sng" baseline="0">
              <a:solidFill>
                <a:srgbClr val="FF0000"/>
              </a:solidFill>
              <a:latin typeface="+mn-lt"/>
              <a:ea typeface="+mn-ea"/>
              <a:cs typeface="+mn-cs"/>
            </a:rPr>
            <a:t>Beta</a:t>
          </a:r>
        </a:p>
        <a:p>
          <a:r>
            <a:rPr lang="tr-TR" sz="1100" baseline="0">
              <a:solidFill>
                <a:schemeClr val="dk1"/>
              </a:solidFill>
              <a:latin typeface="+mn-lt"/>
              <a:ea typeface="+mn-ea"/>
              <a:cs typeface="+mn-cs"/>
            </a:rPr>
            <a:t> When using beta, there are a number of issues that you need to be aware of: (1) betas may change through time; (2) betas may be different depending on the direction of the market (i.e. betas may be greater for down moves in the market than for up moves); (3) the estimated beta will be biased if the security does not frequently trade; (4) the beta is not necessarily a complete measure of risk (you may need multiple betas). </a:t>
          </a:r>
        </a:p>
        <a:p>
          <a:endParaRPr lang="tr-TR" sz="1050" b="1" u="sng" baseline="0">
            <a:solidFill>
              <a:srgbClr val="FF0000"/>
            </a:solidFill>
            <a:latin typeface="+mn-lt"/>
            <a:ea typeface="+mn-ea"/>
            <a:cs typeface="+mn-cs"/>
          </a:endParaRPr>
        </a:p>
        <a:p>
          <a:r>
            <a:rPr lang="tr-TR" sz="1050" b="1" u="sng" baseline="0">
              <a:solidFill>
                <a:srgbClr val="FF0000"/>
              </a:solidFill>
              <a:latin typeface="+mn-lt"/>
              <a:ea typeface="+mn-ea"/>
              <a:cs typeface="+mn-cs"/>
            </a:rPr>
            <a:t> Raw vs. adjusted beta</a:t>
          </a:r>
        </a:p>
        <a:p>
          <a:r>
            <a:rPr lang="tr-TR" sz="1050" b="0" baseline="0">
              <a:solidFill>
                <a:schemeClr val="dk1"/>
              </a:solidFill>
              <a:latin typeface="+mn-lt"/>
              <a:ea typeface="+mn-ea"/>
              <a:cs typeface="+mn-cs"/>
            </a:rPr>
            <a:t>The beta of a stock can be presented as either an adjusted or raw beta. Raw beta, also known as historical beta, is obtained from linear regression based on the observed relationship between the security’s return (using historical data) and the returns on an index. </a:t>
          </a:r>
        </a:p>
        <a:p>
          <a:r>
            <a:rPr lang="tr-TR" sz="1050" b="0" baseline="0">
              <a:solidFill>
                <a:schemeClr val="dk1"/>
              </a:solidFill>
              <a:latin typeface="+mn-lt"/>
              <a:ea typeface="+mn-ea"/>
              <a:cs typeface="+mn-cs"/>
            </a:rPr>
            <a:t>The adjusted beta is an estimate of a security’s future beta. It is initially derived from historical data, but is modified by the assumption that a security’s true beta will move towards the market average over time. </a:t>
          </a:r>
        </a:p>
        <a:p>
          <a:r>
            <a:rPr lang="tr-TR" sz="1050" b="0" baseline="0">
              <a:solidFill>
                <a:schemeClr val="dk1"/>
              </a:solidFill>
              <a:latin typeface="+mn-lt"/>
              <a:ea typeface="+mn-ea"/>
              <a:cs typeface="+mn-cs"/>
            </a:rPr>
            <a:t>The formula used to adjust beta is: </a:t>
          </a:r>
          <a:r>
            <a:rPr lang="tr-TR" sz="1050" b="0" baseline="0">
              <a:solidFill>
                <a:srgbClr val="FF0000"/>
              </a:solidFill>
              <a:latin typeface="+mn-lt"/>
              <a:ea typeface="+mn-ea"/>
              <a:cs typeface="+mn-cs"/>
            </a:rPr>
            <a:t>(0.67) x Raw Beta (0.205) + (0.33) x 1 = 0.470 </a:t>
          </a:r>
        </a:p>
        <a:p>
          <a:endParaRPr lang="tr-TR" sz="1050" b="0"/>
        </a:p>
      </xdr:txBody>
    </xdr:sp>
    <xdr:clientData/>
  </xdr:twoCellAnchor>
  <xdr:twoCellAnchor editAs="oneCell">
    <xdr:from>
      <xdr:col>25</xdr:col>
      <xdr:colOff>171450</xdr:colOff>
      <xdr:row>3</xdr:row>
      <xdr:rowOff>85725</xdr:rowOff>
    </xdr:from>
    <xdr:to>
      <xdr:col>33</xdr:col>
      <xdr:colOff>0</xdr:colOff>
      <xdr:row>33</xdr:row>
      <xdr:rowOff>18161</xdr:rowOff>
    </xdr:to>
    <xdr:pic>
      <xdr:nvPicPr>
        <xdr:cNvPr id="3" name="Resim 2">
          <a:extLst>
            <a:ext uri="{FF2B5EF4-FFF2-40B4-BE49-F238E27FC236}">
              <a16:creationId xmlns:a16="http://schemas.microsoft.com/office/drawing/2014/main" id="{00000000-0008-0000-1900-000003000000}"/>
            </a:ext>
          </a:extLst>
        </xdr:cNvPr>
        <xdr:cNvPicPr/>
      </xdr:nvPicPr>
      <xdr:blipFill>
        <a:blip xmlns:r="http://schemas.openxmlformats.org/officeDocument/2006/relationships" r:embed="rId1"/>
        <a:stretch>
          <a:fillRect/>
        </a:stretch>
      </xdr:blipFill>
      <xdr:spPr>
        <a:xfrm>
          <a:off x="14030325" y="752475"/>
          <a:ext cx="4705350" cy="5227320"/>
        </a:xfrm>
        <a:prstGeom prst="rect">
          <a:avLst/>
        </a:prstGeom>
      </xdr:spPr>
    </xdr:pic>
    <xdr:clientData/>
  </xdr:twoCellAnchor>
  <xdr:twoCellAnchor editAs="oneCell">
    <xdr:from>
      <xdr:col>20</xdr:col>
      <xdr:colOff>476250</xdr:colOff>
      <xdr:row>26</xdr:row>
      <xdr:rowOff>133350</xdr:rowOff>
    </xdr:from>
    <xdr:to>
      <xdr:col>27</xdr:col>
      <xdr:colOff>532859</xdr:colOff>
      <xdr:row>43</xdr:row>
      <xdr:rowOff>66303</xdr:rowOff>
    </xdr:to>
    <xdr:pic>
      <xdr:nvPicPr>
        <xdr:cNvPr id="4" name="Resim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2"/>
        <a:stretch>
          <a:fillRect/>
        </a:stretch>
      </xdr:blipFill>
      <xdr:spPr>
        <a:xfrm>
          <a:off x="12363450" y="5553075"/>
          <a:ext cx="4323810" cy="2980953"/>
        </a:xfrm>
        <a:prstGeom prst="rect">
          <a:avLst/>
        </a:prstGeom>
      </xdr:spPr>
    </xdr:pic>
    <xdr:clientData/>
  </xdr:twoCellAnchor>
  <xdr:twoCellAnchor editAs="oneCell">
    <xdr:from>
      <xdr:col>20</xdr:col>
      <xdr:colOff>419100</xdr:colOff>
      <xdr:row>44</xdr:row>
      <xdr:rowOff>0</xdr:rowOff>
    </xdr:from>
    <xdr:to>
      <xdr:col>28</xdr:col>
      <xdr:colOff>37537</xdr:colOff>
      <xdr:row>84</xdr:row>
      <xdr:rowOff>39104</xdr:rowOff>
    </xdr:to>
    <xdr:pic>
      <xdr:nvPicPr>
        <xdr:cNvPr id="5" name="Resim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3"/>
        <a:stretch>
          <a:fillRect/>
        </a:stretch>
      </xdr:blipFill>
      <xdr:spPr>
        <a:xfrm>
          <a:off x="12306300" y="8505825"/>
          <a:ext cx="4495238" cy="7209524"/>
        </a:xfrm>
        <a:prstGeom prst="rect">
          <a:avLst/>
        </a:prstGeom>
      </xdr:spPr>
    </xdr:pic>
    <xdr:clientData/>
  </xdr:twoCellAnchor>
  <xdr:twoCellAnchor editAs="oneCell">
    <xdr:from>
      <xdr:col>20</xdr:col>
      <xdr:colOff>485775</xdr:colOff>
      <xdr:row>85</xdr:row>
      <xdr:rowOff>9525</xdr:rowOff>
    </xdr:from>
    <xdr:to>
      <xdr:col>28</xdr:col>
      <xdr:colOff>94689</xdr:colOff>
      <xdr:row>125</xdr:row>
      <xdr:rowOff>153391</xdr:rowOff>
    </xdr:to>
    <xdr:pic>
      <xdr:nvPicPr>
        <xdr:cNvPr id="7" name="Resim 6">
          <a:extLst>
            <a:ext uri="{FF2B5EF4-FFF2-40B4-BE49-F238E27FC236}">
              <a16:creationId xmlns:a16="http://schemas.microsoft.com/office/drawing/2014/main" id="{00000000-0008-0000-1900-000007000000}"/>
            </a:ext>
          </a:extLst>
        </xdr:cNvPr>
        <xdr:cNvPicPr>
          <a:picLocks noChangeAspect="1"/>
        </xdr:cNvPicPr>
      </xdr:nvPicPr>
      <xdr:blipFill>
        <a:blip xmlns:r="http://schemas.openxmlformats.org/officeDocument/2006/relationships" r:embed="rId4"/>
        <a:stretch>
          <a:fillRect/>
        </a:stretch>
      </xdr:blipFill>
      <xdr:spPr>
        <a:xfrm>
          <a:off x="12372975" y="15544800"/>
          <a:ext cx="4485715" cy="7314286"/>
        </a:xfrm>
        <a:prstGeom prst="rect">
          <a:avLst/>
        </a:prstGeom>
      </xdr:spPr>
    </xdr:pic>
    <xdr:clientData/>
  </xdr:twoCellAnchor>
  <xdr:twoCellAnchor editAs="oneCell">
    <xdr:from>
      <xdr:col>21</xdr:col>
      <xdr:colOff>19050</xdr:colOff>
      <xdr:row>127</xdr:row>
      <xdr:rowOff>19050</xdr:rowOff>
    </xdr:from>
    <xdr:to>
      <xdr:col>28</xdr:col>
      <xdr:colOff>94706</xdr:colOff>
      <xdr:row>156</xdr:row>
      <xdr:rowOff>170780</xdr:rowOff>
    </xdr:to>
    <xdr:pic>
      <xdr:nvPicPr>
        <xdr:cNvPr id="8" name="Resim 7">
          <a:extLst>
            <a:ext uri="{FF2B5EF4-FFF2-40B4-BE49-F238E27FC236}">
              <a16:creationId xmlns:a16="http://schemas.microsoft.com/office/drawing/2014/main" id="{00000000-0008-0000-1900-000008000000}"/>
            </a:ext>
          </a:extLst>
        </xdr:cNvPr>
        <xdr:cNvPicPr>
          <a:picLocks noChangeAspect="1"/>
        </xdr:cNvPicPr>
      </xdr:nvPicPr>
      <xdr:blipFill>
        <a:blip xmlns:r="http://schemas.openxmlformats.org/officeDocument/2006/relationships" r:embed="rId5"/>
        <a:stretch>
          <a:fillRect/>
        </a:stretch>
      </xdr:blipFill>
      <xdr:spPr>
        <a:xfrm>
          <a:off x="12515850" y="22755225"/>
          <a:ext cx="4342857" cy="53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22</xdr:col>
      <xdr:colOff>753776</xdr:colOff>
      <xdr:row>9</xdr:row>
      <xdr:rowOff>39468</xdr:rowOff>
    </xdr:from>
    <xdr:to>
      <xdr:col>30</xdr:col>
      <xdr:colOff>51314</xdr:colOff>
      <xdr:row>33</xdr:row>
      <xdr:rowOff>62258</xdr:rowOff>
    </xdr:to>
    <xdr:pic>
      <xdr:nvPicPr>
        <xdr:cNvPr id="2" name="Resim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19803776" y="1907297"/>
          <a:ext cx="5542221" cy="4697010"/>
        </a:xfrm>
        <a:prstGeom prst="rect">
          <a:avLst/>
        </a:prstGeom>
      </xdr:spPr>
    </xdr:pic>
    <xdr:clientData/>
  </xdr:twoCellAnchor>
  <xdr:twoCellAnchor editAs="oneCell">
    <xdr:from>
      <xdr:col>16</xdr:col>
      <xdr:colOff>645946</xdr:colOff>
      <xdr:row>26</xdr:row>
      <xdr:rowOff>120430</xdr:rowOff>
    </xdr:from>
    <xdr:to>
      <xdr:col>23</xdr:col>
      <xdr:colOff>470774</xdr:colOff>
      <xdr:row>45</xdr:row>
      <xdr:rowOff>158286</xdr:rowOff>
    </xdr:to>
    <xdr:pic>
      <xdr:nvPicPr>
        <xdr:cNvPr id="3" name="Resim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2"/>
        <a:stretch>
          <a:fillRect/>
        </a:stretch>
      </xdr:blipFill>
      <xdr:spPr>
        <a:xfrm>
          <a:off x="14944394" y="5277068"/>
          <a:ext cx="5189483" cy="3782166"/>
        </a:xfrm>
        <a:prstGeom prst="rect">
          <a:avLst/>
        </a:prstGeom>
      </xdr:spPr>
    </xdr:pic>
    <xdr:clientData/>
  </xdr:twoCellAnchor>
  <xdr:twoCellAnchor editAs="oneCell">
    <xdr:from>
      <xdr:col>16</xdr:col>
      <xdr:colOff>678792</xdr:colOff>
      <xdr:row>48</xdr:row>
      <xdr:rowOff>65691</xdr:rowOff>
    </xdr:from>
    <xdr:to>
      <xdr:col>23</xdr:col>
      <xdr:colOff>504614</xdr:colOff>
      <xdr:row>73</xdr:row>
      <xdr:rowOff>53253</xdr:rowOff>
    </xdr:to>
    <xdr:pic>
      <xdr:nvPicPr>
        <xdr:cNvPr id="4" name="Resim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3"/>
        <a:stretch>
          <a:fillRect/>
        </a:stretch>
      </xdr:blipFill>
      <xdr:spPr>
        <a:xfrm>
          <a:off x="14977240" y="9557846"/>
          <a:ext cx="5190477" cy="4914286"/>
        </a:xfrm>
        <a:prstGeom prst="rect">
          <a:avLst/>
        </a:prstGeom>
      </xdr:spPr>
    </xdr:pic>
    <xdr:clientData/>
  </xdr:twoCellAnchor>
  <xdr:twoCellAnchor editAs="oneCell">
    <xdr:from>
      <xdr:col>22</xdr:col>
      <xdr:colOff>32167</xdr:colOff>
      <xdr:row>23</xdr:row>
      <xdr:rowOff>164098</xdr:rowOff>
    </xdr:from>
    <xdr:to>
      <xdr:col>28</xdr:col>
      <xdr:colOff>311061</xdr:colOff>
      <xdr:row>61</xdr:row>
      <xdr:rowOff>73779</xdr:rowOff>
    </xdr:to>
    <xdr:pic>
      <xdr:nvPicPr>
        <xdr:cNvPr id="5" name="Resim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4"/>
        <a:stretch>
          <a:fillRect/>
        </a:stretch>
      </xdr:blipFill>
      <xdr:spPr>
        <a:xfrm>
          <a:off x="18605917" y="4694281"/>
          <a:ext cx="4878772" cy="7413522"/>
        </a:xfrm>
        <a:prstGeom prst="rect">
          <a:avLst/>
        </a:prstGeom>
      </xdr:spPr>
    </xdr:pic>
    <xdr:clientData/>
  </xdr:twoCellAnchor>
  <xdr:twoCellAnchor editAs="oneCell">
    <xdr:from>
      <xdr:col>20</xdr:col>
      <xdr:colOff>279991</xdr:colOff>
      <xdr:row>1</xdr:row>
      <xdr:rowOff>107094</xdr:rowOff>
    </xdr:from>
    <xdr:to>
      <xdr:col>27</xdr:col>
      <xdr:colOff>433936</xdr:colOff>
      <xdr:row>25</xdr:row>
      <xdr:rowOff>84294</xdr:rowOff>
    </xdr:to>
    <xdr:pic>
      <xdr:nvPicPr>
        <xdr:cNvPr id="7" name="Resim 6">
          <a:extLst>
            <a:ext uri="{FF2B5EF4-FFF2-40B4-BE49-F238E27FC236}">
              <a16:creationId xmlns:a16="http://schemas.microsoft.com/office/drawing/2014/main" id="{00000000-0008-0000-1A00-000007000000}"/>
            </a:ext>
          </a:extLst>
        </xdr:cNvPr>
        <xdr:cNvPicPr>
          <a:picLocks noChangeAspect="1"/>
        </xdr:cNvPicPr>
      </xdr:nvPicPr>
      <xdr:blipFill>
        <a:blip xmlns:r="http://schemas.openxmlformats.org/officeDocument/2006/relationships" r:embed="rId5"/>
        <a:stretch>
          <a:fillRect/>
        </a:stretch>
      </xdr:blipFill>
      <xdr:spPr>
        <a:xfrm>
          <a:off x="17768820" y="311533"/>
          <a:ext cx="5618043" cy="4707176"/>
        </a:xfrm>
        <a:prstGeom prst="rect">
          <a:avLst/>
        </a:prstGeom>
      </xdr:spPr>
    </xdr:pic>
    <xdr:clientData/>
  </xdr:twoCellAnchor>
  <xdr:twoCellAnchor editAs="oneCell">
    <xdr:from>
      <xdr:col>13</xdr:col>
      <xdr:colOff>185853</xdr:colOff>
      <xdr:row>0</xdr:row>
      <xdr:rowOff>151006</xdr:rowOff>
    </xdr:from>
    <xdr:to>
      <xdr:col>23</xdr:col>
      <xdr:colOff>134737</xdr:colOff>
      <xdr:row>27</xdr:row>
      <xdr:rowOff>92927</xdr:rowOff>
    </xdr:to>
    <xdr:pic>
      <xdr:nvPicPr>
        <xdr:cNvPr id="6" name="Resim 5">
          <a:extLst>
            <a:ext uri="{FF2B5EF4-FFF2-40B4-BE49-F238E27FC236}">
              <a16:creationId xmlns:a16="http://schemas.microsoft.com/office/drawing/2014/main" id="{00000000-0008-0000-1A00-000006000000}"/>
            </a:ext>
          </a:extLst>
        </xdr:cNvPr>
        <xdr:cNvPicPr>
          <a:picLocks noChangeAspect="1"/>
        </xdr:cNvPicPr>
      </xdr:nvPicPr>
      <xdr:blipFill>
        <a:blip xmlns:r="http://schemas.openxmlformats.org/officeDocument/2006/relationships" r:embed="rId6"/>
        <a:stretch>
          <a:fillRect/>
        </a:stretch>
      </xdr:blipFill>
      <xdr:spPr>
        <a:xfrm>
          <a:off x="11627469" y="151006"/>
          <a:ext cx="7847664" cy="526198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30905</xdr:colOff>
      <xdr:row>12</xdr:row>
      <xdr:rowOff>61140</xdr:rowOff>
    </xdr:to>
    <xdr:pic>
      <xdr:nvPicPr>
        <xdr:cNvPr id="2" name="Resim 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a:stretch>
          <a:fillRect/>
        </a:stretch>
      </xdr:blipFill>
      <xdr:spPr>
        <a:xfrm>
          <a:off x="609600" y="182880"/>
          <a:ext cx="4907705" cy="2072820"/>
        </a:xfrm>
        <a:prstGeom prst="rect">
          <a:avLst/>
        </a:prstGeom>
      </xdr:spPr>
    </xdr:pic>
    <xdr:clientData/>
  </xdr:twoCellAnchor>
  <xdr:twoCellAnchor editAs="oneCell">
    <xdr:from>
      <xdr:col>1</xdr:col>
      <xdr:colOff>38100</xdr:colOff>
      <xdr:row>12</xdr:row>
      <xdr:rowOff>53340</xdr:rowOff>
    </xdr:from>
    <xdr:to>
      <xdr:col>9</xdr:col>
      <xdr:colOff>145212</xdr:colOff>
      <xdr:row>22</xdr:row>
      <xdr:rowOff>91602</xdr:rowOff>
    </xdr:to>
    <xdr:pic>
      <xdr:nvPicPr>
        <xdr:cNvPr id="3" name="Resim 2">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2"/>
        <a:stretch>
          <a:fillRect/>
        </a:stretch>
      </xdr:blipFill>
      <xdr:spPr>
        <a:xfrm>
          <a:off x="647700" y="2247900"/>
          <a:ext cx="4983912" cy="18670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2\projeler\FIRDEG\SIGED%20Projesi\merger-mod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puts"/>
      <sheetName val="__FDSCACHE__"/>
      <sheetName val="Close"/>
      <sheetName val="Pro Forma"/>
      <sheetName val="Acquirer"/>
      <sheetName val="Target"/>
      <sheetName val="MACRS"/>
    </sheetNames>
    <sheetDataSet>
      <sheetData sheetId="0"/>
      <sheetData sheetId="1">
        <row r="44">
          <cell r="E44">
            <v>41455</v>
          </cell>
        </row>
        <row r="46">
          <cell r="E46" t="str">
            <v>$</v>
          </cell>
        </row>
      </sheetData>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queenstocks.com/" TargetMode="External"/><Relationship Id="rId7" Type="http://schemas.openxmlformats.org/officeDocument/2006/relationships/printerSettings" Target="../printerSettings/printerSettings1.bin"/><Relationship Id="rId2" Type="http://schemas.openxmlformats.org/officeDocument/2006/relationships/hyperlink" Target="http://www.queenstocks.com/" TargetMode="External"/><Relationship Id="rId1" Type="http://schemas.openxmlformats.org/officeDocument/2006/relationships/hyperlink" Target="http://www.queenstocks.com/" TargetMode="External"/><Relationship Id="rId6" Type="http://schemas.openxmlformats.org/officeDocument/2006/relationships/hyperlink" Target="http://www.valueseeker.com/" TargetMode="External"/><Relationship Id="rId5" Type="http://schemas.openxmlformats.org/officeDocument/2006/relationships/hyperlink" Target="http://www.valuex.com/" TargetMode="External"/><Relationship Id="rId4" Type="http://schemas.openxmlformats.org/officeDocument/2006/relationships/hyperlink" Target="http://www.queenstocks.com/"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2:AC86"/>
  <sheetViews>
    <sheetView zoomScale="81" zoomScaleNormal="81" workbookViewId="0">
      <selection activeCell="O4" sqref="O4"/>
    </sheetView>
  </sheetViews>
  <sheetFormatPr defaultColWidth="8.85546875" defaultRowHeight="16.899999999999999" customHeight="1" x14ac:dyDescent="0.3"/>
  <cols>
    <col min="1" max="1" width="4.42578125" style="4" customWidth="1"/>
    <col min="2" max="3" width="2.7109375" style="4" customWidth="1"/>
    <col min="4" max="4" width="2.85546875" style="4" customWidth="1"/>
    <col min="5" max="14" width="8.85546875" style="4"/>
    <col min="15" max="15" width="16.85546875" style="6" customWidth="1"/>
    <col min="16" max="16" width="2" style="6" customWidth="1"/>
    <col min="17" max="19" width="8.85546875" style="4"/>
    <col min="20" max="20" width="2.140625" style="4" customWidth="1"/>
    <col min="21" max="21" width="3.85546875" style="319" customWidth="1"/>
    <col min="22" max="22" width="3" style="319" customWidth="1"/>
    <col min="23" max="25" width="8.85546875" style="319"/>
    <col min="26" max="29" width="12.7109375" style="4" customWidth="1"/>
    <col min="30" max="16384" width="8.85546875" style="4"/>
  </cols>
  <sheetData>
    <row r="2" spans="2:29" ht="22.9" customHeight="1" x14ac:dyDescent="0.35">
      <c r="B2" s="1790" t="s">
        <v>1324</v>
      </c>
      <c r="C2" s="1789"/>
      <c r="D2" s="1789"/>
      <c r="E2" s="1789"/>
      <c r="F2" s="1789"/>
      <c r="G2" s="1789"/>
      <c r="H2" s="1789"/>
      <c r="I2" s="1789"/>
      <c r="J2" s="1789"/>
      <c r="K2" s="1789"/>
      <c r="L2" s="1789"/>
      <c r="M2" s="1789"/>
      <c r="N2" s="1789"/>
      <c r="O2" s="1948"/>
      <c r="P2" s="1717"/>
    </row>
    <row r="3" spans="2:29" ht="3.6" customHeight="1" x14ac:dyDescent="0.3"/>
    <row r="4" spans="2:29" ht="15" customHeight="1" x14ac:dyDescent="0.3">
      <c r="B4" s="1831" t="s">
        <v>1459</v>
      </c>
      <c r="C4" s="1831"/>
      <c r="D4" s="1831"/>
      <c r="E4" s="1831"/>
      <c r="F4" s="1831"/>
      <c r="G4" s="1831"/>
      <c r="H4" s="1831"/>
      <c r="I4" s="1831"/>
      <c r="J4" s="1831"/>
      <c r="K4" s="1831"/>
      <c r="L4" s="1831"/>
      <c r="M4" s="1831"/>
      <c r="N4" s="1831"/>
      <c r="O4" s="1949" t="s">
        <v>1415</v>
      </c>
      <c r="P4" s="1995"/>
    </row>
    <row r="5" spans="2:29" ht="5.25" customHeight="1" x14ac:dyDescent="0.3">
      <c r="U5" s="2025"/>
      <c r="V5" s="2025"/>
      <c r="W5" s="2025"/>
      <c r="X5" s="2025"/>
      <c r="Y5" s="2025"/>
      <c r="Z5" s="708"/>
      <c r="AA5" s="708"/>
      <c r="AB5" s="708"/>
      <c r="AC5" s="708"/>
    </row>
    <row r="6" spans="2:29" ht="15" customHeight="1" x14ac:dyDescent="0.3">
      <c r="B6" s="1791" t="s">
        <v>1331</v>
      </c>
      <c r="C6" s="1791" t="s">
        <v>1461</v>
      </c>
      <c r="U6" s="1867" t="s">
        <v>1564</v>
      </c>
      <c r="V6" s="1867"/>
      <c r="W6" s="1867"/>
      <c r="X6" s="1867"/>
      <c r="Y6" s="2025"/>
      <c r="Z6" s="708"/>
      <c r="AA6" s="708"/>
      <c r="AB6" s="708"/>
      <c r="AC6" s="708"/>
    </row>
    <row r="7" spans="2:29" ht="15" customHeight="1" x14ac:dyDescent="0.3">
      <c r="C7" s="1792" t="s">
        <v>485</v>
      </c>
      <c r="D7" s="319" t="s">
        <v>1462</v>
      </c>
      <c r="U7" s="2042" t="s">
        <v>1563</v>
      </c>
    </row>
    <row r="8" spans="2:29" ht="15" customHeight="1" x14ac:dyDescent="0.3">
      <c r="C8" s="1792" t="s">
        <v>485</v>
      </c>
      <c r="D8" s="319" t="s">
        <v>943</v>
      </c>
      <c r="U8" s="2042" t="s">
        <v>1581</v>
      </c>
    </row>
    <row r="9" spans="2:29" ht="15" customHeight="1" x14ac:dyDescent="0.3">
      <c r="C9" s="1792" t="s">
        <v>485</v>
      </c>
      <c r="D9" s="319" t="s">
        <v>294</v>
      </c>
      <c r="U9" s="2024"/>
    </row>
    <row r="10" spans="2:29" ht="15" customHeight="1" x14ac:dyDescent="0.3">
      <c r="C10" s="1792" t="s">
        <v>485</v>
      </c>
      <c r="D10" s="319" t="s">
        <v>1369</v>
      </c>
    </row>
    <row r="11" spans="2:29" ht="15" customHeight="1" x14ac:dyDescent="0.3">
      <c r="C11" s="1792" t="s">
        <v>485</v>
      </c>
      <c r="D11" s="319" t="s">
        <v>1463</v>
      </c>
    </row>
    <row r="12" spans="2:29" ht="15" customHeight="1" x14ac:dyDescent="0.3">
      <c r="C12" s="1792" t="s">
        <v>485</v>
      </c>
      <c r="D12" s="319" t="s">
        <v>1464</v>
      </c>
    </row>
    <row r="13" spans="2:29" ht="15" customHeight="1" x14ac:dyDescent="0.3">
      <c r="C13" s="1792" t="s">
        <v>485</v>
      </c>
      <c r="D13" s="319" t="s">
        <v>1465</v>
      </c>
    </row>
    <row r="14" spans="2:29" ht="18" customHeight="1" x14ac:dyDescent="0.3">
      <c r="C14" s="1792" t="s">
        <v>485</v>
      </c>
      <c r="D14" s="319" t="s">
        <v>1466</v>
      </c>
      <c r="U14" s="2035" t="s">
        <v>1567</v>
      </c>
      <c r="V14" s="2036"/>
      <c r="W14" s="2036"/>
      <c r="X14" s="2036"/>
      <c r="Y14" s="2036"/>
      <c r="Z14" s="2037"/>
      <c r="AA14" s="2037"/>
      <c r="AB14" s="2037"/>
      <c r="AC14" s="2038"/>
    </row>
    <row r="15" spans="2:29" ht="16.5" customHeight="1" x14ac:dyDescent="0.3">
      <c r="B15" s="1831" t="s">
        <v>1483</v>
      </c>
      <c r="C15" s="1831"/>
      <c r="D15" s="1831"/>
      <c r="E15" s="1831"/>
      <c r="F15" s="1831"/>
      <c r="G15" s="1831"/>
      <c r="H15" s="1831"/>
      <c r="I15" s="1831"/>
      <c r="J15" s="1831"/>
      <c r="K15" s="1831"/>
      <c r="L15" s="1831"/>
      <c r="M15" s="1831"/>
      <c r="N15" s="1831"/>
      <c r="O15" s="1949" t="s">
        <v>1415</v>
      </c>
      <c r="P15" s="1995"/>
      <c r="U15" s="2028" t="s">
        <v>1565</v>
      </c>
      <c r="V15" s="727"/>
      <c r="W15" s="727"/>
      <c r="X15" s="727"/>
      <c r="Y15" s="727"/>
      <c r="Z15" s="99"/>
      <c r="AA15" s="99"/>
      <c r="AB15" s="99"/>
      <c r="AC15" s="2027"/>
    </row>
    <row r="16" spans="2:29" ht="16.5" customHeight="1" x14ac:dyDescent="0.3">
      <c r="B16" s="1791" t="s">
        <v>1331</v>
      </c>
      <c r="C16" s="1791" t="s">
        <v>1558</v>
      </c>
      <c r="O16" s="6" t="s">
        <v>1560</v>
      </c>
      <c r="P16" s="4"/>
      <c r="U16" s="2028" t="s">
        <v>1331</v>
      </c>
      <c r="V16" s="727" t="s">
        <v>1568</v>
      </c>
      <c r="W16" s="727"/>
      <c r="X16" s="727"/>
      <c r="Y16" s="727"/>
      <c r="Z16" s="99"/>
      <c r="AA16" s="99"/>
      <c r="AB16" s="99"/>
      <c r="AC16" s="2027"/>
    </row>
    <row r="17" spans="1:29" ht="16.5" customHeight="1" x14ac:dyDescent="0.3">
      <c r="B17" s="1791" t="s">
        <v>1331</v>
      </c>
      <c r="C17" s="1791" t="s">
        <v>1580</v>
      </c>
      <c r="P17" s="4"/>
      <c r="U17" s="2026"/>
      <c r="V17" s="2034" t="s">
        <v>485</v>
      </c>
      <c r="W17" s="727" t="s">
        <v>1575</v>
      </c>
      <c r="X17" s="727"/>
      <c r="Y17" s="727"/>
      <c r="Z17" s="99"/>
      <c r="AA17" s="99"/>
      <c r="AB17" s="99"/>
      <c r="AC17" s="2027"/>
    </row>
    <row r="18" spans="1:29" s="1791" customFormat="1" ht="16.899999999999999" customHeight="1" x14ac:dyDescent="0.3">
      <c r="A18" s="4"/>
      <c r="B18" s="1791" t="s">
        <v>1331</v>
      </c>
      <c r="C18" s="1791" t="s">
        <v>1559</v>
      </c>
      <c r="D18" s="4"/>
      <c r="E18" s="4"/>
      <c r="F18" s="4"/>
      <c r="G18" s="4"/>
      <c r="H18" s="4"/>
      <c r="I18" s="4"/>
      <c r="J18" s="4"/>
      <c r="K18" s="4"/>
      <c r="L18" s="4"/>
      <c r="M18" s="4"/>
      <c r="N18" s="4"/>
      <c r="O18" s="6" t="s">
        <v>1560</v>
      </c>
      <c r="P18" s="4"/>
      <c r="Q18" s="4"/>
      <c r="R18" s="4"/>
      <c r="S18" s="4"/>
      <c r="T18" s="4"/>
      <c r="U18" s="2028"/>
      <c r="V18" s="2034" t="s">
        <v>485</v>
      </c>
      <c r="W18" s="727" t="s">
        <v>1574</v>
      </c>
      <c r="X18" s="729"/>
      <c r="Y18" s="729"/>
      <c r="Z18" s="729"/>
      <c r="AA18" s="729"/>
      <c r="AB18" s="729"/>
      <c r="AC18" s="2029"/>
    </row>
    <row r="19" spans="1:29" s="1791" customFormat="1" ht="18" customHeight="1" x14ac:dyDescent="0.3">
      <c r="B19" s="1831" t="s">
        <v>1329</v>
      </c>
      <c r="C19" s="1831"/>
      <c r="D19" s="1831"/>
      <c r="E19" s="1831"/>
      <c r="F19" s="1831"/>
      <c r="G19" s="1831"/>
      <c r="H19" s="1831"/>
      <c r="I19" s="1831"/>
      <c r="J19" s="1831"/>
      <c r="K19" s="1831"/>
      <c r="L19" s="1831"/>
      <c r="M19" s="1831"/>
      <c r="N19" s="1831"/>
      <c r="O19" s="1949" t="s">
        <v>1415</v>
      </c>
      <c r="P19" s="1995"/>
      <c r="Q19" s="319"/>
      <c r="U19" s="2028" t="s">
        <v>1331</v>
      </c>
      <c r="V19" s="727" t="s">
        <v>1569</v>
      </c>
      <c r="W19" s="727"/>
      <c r="X19" s="727"/>
      <c r="Y19" s="727"/>
      <c r="Z19" s="99"/>
      <c r="AA19" s="99"/>
      <c r="AB19" s="99"/>
      <c r="AC19" s="2027"/>
    </row>
    <row r="20" spans="1:29" s="1791" customFormat="1" ht="18" customHeight="1" x14ac:dyDescent="0.3">
      <c r="B20" s="1791" t="s">
        <v>1331</v>
      </c>
      <c r="C20" s="1791" t="s">
        <v>1325</v>
      </c>
      <c r="O20" s="1717" t="s">
        <v>1420</v>
      </c>
      <c r="P20" s="1717"/>
      <c r="Q20" s="319" t="s">
        <v>1421</v>
      </c>
      <c r="U20" s="2028" t="s">
        <v>1566</v>
      </c>
      <c r="V20" s="729"/>
      <c r="W20" s="729"/>
      <c r="X20" s="729"/>
      <c r="Y20" s="729"/>
      <c r="Z20" s="729"/>
      <c r="AA20" s="729"/>
      <c r="AB20" s="729"/>
      <c r="AC20" s="2029"/>
    </row>
    <row r="21" spans="1:29" s="1791" customFormat="1" ht="18" customHeight="1" x14ac:dyDescent="0.3">
      <c r="B21" s="1791" t="s">
        <v>1331</v>
      </c>
      <c r="C21" s="1791" t="s">
        <v>1326</v>
      </c>
      <c r="O21" s="1717" t="s">
        <v>1423</v>
      </c>
      <c r="P21" s="1717"/>
      <c r="Q21" s="319" t="s">
        <v>1421</v>
      </c>
      <c r="U21" s="2028" t="s">
        <v>1331</v>
      </c>
      <c r="V21" s="727" t="s">
        <v>1570</v>
      </c>
      <c r="W21" s="729"/>
      <c r="X21" s="729"/>
      <c r="Y21" s="729"/>
      <c r="Z21" s="729"/>
      <c r="AA21" s="729"/>
      <c r="AB21" s="729"/>
      <c r="AC21" s="2029"/>
    </row>
    <row r="22" spans="1:29" s="1791" customFormat="1" ht="18" customHeight="1" x14ac:dyDescent="0.3">
      <c r="B22" s="1791" t="s">
        <v>1331</v>
      </c>
      <c r="C22" s="1791" t="s">
        <v>1327</v>
      </c>
      <c r="O22" s="1717" t="s">
        <v>1422</v>
      </c>
      <c r="P22" s="1717"/>
      <c r="Q22" s="319" t="s">
        <v>1421</v>
      </c>
      <c r="U22" s="2028" t="s">
        <v>1331</v>
      </c>
      <c r="V22" s="727" t="s">
        <v>1571</v>
      </c>
      <c r="W22" s="729"/>
      <c r="X22" s="729"/>
      <c r="Y22" s="729"/>
      <c r="Z22" s="729"/>
      <c r="AA22" s="729"/>
      <c r="AB22" s="729"/>
      <c r="AC22" s="2029"/>
    </row>
    <row r="23" spans="1:29" s="319" customFormat="1" ht="16.899999999999999" customHeight="1" x14ac:dyDescent="0.3">
      <c r="A23" s="1791"/>
      <c r="B23" s="1791" t="s">
        <v>1331</v>
      </c>
      <c r="C23" s="1791" t="s">
        <v>1328</v>
      </c>
      <c r="D23" s="1791"/>
      <c r="E23" s="1791"/>
      <c r="F23" s="1791"/>
      <c r="G23" s="1791"/>
      <c r="H23" s="1791"/>
      <c r="I23" s="1791"/>
      <c r="J23" s="1791"/>
      <c r="K23" s="1791"/>
      <c r="L23" s="1791"/>
      <c r="M23" s="1791"/>
      <c r="N23" s="1791"/>
      <c r="O23" s="1717" t="s">
        <v>1424</v>
      </c>
      <c r="P23" s="1717"/>
      <c r="Q23" s="319" t="s">
        <v>1421</v>
      </c>
      <c r="R23" s="1791"/>
      <c r="S23" s="1791"/>
      <c r="T23" s="1791"/>
      <c r="U23" s="2028" t="s">
        <v>1576</v>
      </c>
      <c r="V23" s="729"/>
      <c r="W23" s="729"/>
      <c r="X23" s="729"/>
      <c r="Y23" s="729"/>
      <c r="Z23" s="729"/>
      <c r="AA23" s="729"/>
      <c r="AB23" s="729"/>
      <c r="AC23" s="2029"/>
    </row>
    <row r="24" spans="1:29" s="319" customFormat="1" ht="16.899999999999999" customHeight="1" x14ac:dyDescent="0.3">
      <c r="C24" s="1792" t="s">
        <v>485</v>
      </c>
      <c r="D24" s="319" t="s">
        <v>337</v>
      </c>
      <c r="O24" s="1717" t="s">
        <v>1424</v>
      </c>
      <c r="P24" s="1717"/>
      <c r="Q24" s="319" t="s">
        <v>1421</v>
      </c>
      <c r="U24" s="2028" t="s">
        <v>1324</v>
      </c>
      <c r="V24" s="729"/>
      <c r="W24" s="729"/>
      <c r="X24" s="729"/>
      <c r="Y24" s="729"/>
      <c r="Z24" s="729"/>
      <c r="AA24" s="729"/>
      <c r="AB24" s="729"/>
      <c r="AC24" s="2029"/>
    </row>
    <row r="25" spans="1:29" s="319" customFormat="1" ht="16.899999999999999" customHeight="1" x14ac:dyDescent="0.3">
      <c r="C25" s="1792" t="s">
        <v>485</v>
      </c>
      <c r="D25" s="319" t="s">
        <v>338</v>
      </c>
      <c r="O25" s="1717" t="s">
        <v>1424</v>
      </c>
      <c r="P25" s="1717"/>
      <c r="Q25" s="319" t="s">
        <v>1421</v>
      </c>
      <c r="U25" s="2028" t="s">
        <v>1331</v>
      </c>
      <c r="V25" s="727" t="s">
        <v>1572</v>
      </c>
      <c r="W25" s="729"/>
      <c r="X25" s="729"/>
      <c r="Y25" s="729"/>
      <c r="Z25" s="729"/>
      <c r="AA25" s="729"/>
      <c r="AB25" s="729"/>
      <c r="AC25" s="2029"/>
    </row>
    <row r="26" spans="1:29" s="319" customFormat="1" ht="16.899999999999999" customHeight="1" x14ac:dyDescent="0.3">
      <c r="C26" s="1792" t="s">
        <v>485</v>
      </c>
      <c r="D26" s="319" t="s">
        <v>1332</v>
      </c>
      <c r="O26" s="1717" t="s">
        <v>1424</v>
      </c>
      <c r="P26" s="1717"/>
      <c r="Q26" s="319" t="s">
        <v>1421</v>
      </c>
      <c r="U26" s="2028" t="s">
        <v>1331</v>
      </c>
      <c r="V26" s="727" t="s">
        <v>1573</v>
      </c>
      <c r="W26" s="727"/>
      <c r="X26" s="727"/>
      <c r="Y26" s="727"/>
      <c r="Z26" s="727"/>
      <c r="AA26" s="727"/>
      <c r="AB26" s="727"/>
      <c r="AC26" s="2030"/>
    </row>
    <row r="27" spans="1:29" s="319" customFormat="1" ht="16.899999999999999" customHeight="1" x14ac:dyDescent="0.3">
      <c r="C27" s="1792" t="s">
        <v>485</v>
      </c>
      <c r="D27" s="319" t="s">
        <v>340</v>
      </c>
      <c r="O27" s="1717" t="s">
        <v>1424</v>
      </c>
      <c r="P27" s="1717"/>
      <c r="Q27" s="319" t="s">
        <v>1421</v>
      </c>
      <c r="U27" s="2028" t="s">
        <v>1416</v>
      </c>
      <c r="V27" s="729"/>
      <c r="W27" s="727"/>
      <c r="X27" s="727"/>
      <c r="Y27" s="727"/>
      <c r="Z27" s="727"/>
      <c r="AA27" s="727"/>
      <c r="AB27" s="727"/>
      <c r="AC27" s="2030"/>
    </row>
    <row r="28" spans="1:29" s="7" customFormat="1" ht="16.899999999999999" customHeight="1" x14ac:dyDescent="0.3">
      <c r="A28" s="319"/>
      <c r="B28" s="319"/>
      <c r="C28" s="1792" t="s">
        <v>485</v>
      </c>
      <c r="D28" s="319" t="s">
        <v>341</v>
      </c>
      <c r="E28" s="319"/>
      <c r="F28" s="319"/>
      <c r="G28" s="319"/>
      <c r="H28" s="319"/>
      <c r="I28" s="319"/>
      <c r="J28" s="319"/>
      <c r="K28" s="319"/>
      <c r="L28" s="319"/>
      <c r="M28" s="319"/>
      <c r="N28" s="319"/>
      <c r="O28" s="1717" t="s">
        <v>1424</v>
      </c>
      <c r="P28" s="1717"/>
      <c r="Q28" s="319" t="s">
        <v>1421</v>
      </c>
      <c r="R28" s="319"/>
      <c r="S28" s="319"/>
      <c r="T28" s="319"/>
      <c r="U28" s="2028" t="s">
        <v>1331</v>
      </c>
      <c r="V28" s="727" t="s">
        <v>1417</v>
      </c>
      <c r="W28" s="727"/>
      <c r="X28" s="727"/>
      <c r="Y28" s="727"/>
      <c r="Z28" s="727"/>
      <c r="AA28" s="727"/>
      <c r="AB28" s="727"/>
      <c r="AC28" s="2030"/>
    </row>
    <row r="29" spans="1:29" s="1791" customFormat="1" ht="16.899999999999999" customHeight="1" x14ac:dyDescent="0.3">
      <c r="A29" s="7"/>
      <c r="B29" s="1831" t="s">
        <v>1330</v>
      </c>
      <c r="C29" s="1831"/>
      <c r="D29" s="1831"/>
      <c r="E29" s="1831"/>
      <c r="F29" s="1831"/>
      <c r="G29" s="1831"/>
      <c r="H29" s="1831"/>
      <c r="I29" s="1831"/>
      <c r="J29" s="1831"/>
      <c r="K29" s="1831"/>
      <c r="L29" s="1831"/>
      <c r="M29" s="1831"/>
      <c r="N29" s="1831"/>
      <c r="O29" s="1949" t="s">
        <v>1415</v>
      </c>
      <c r="P29" s="1995"/>
      <c r="Q29" s="4"/>
      <c r="R29" s="7"/>
      <c r="S29" s="7"/>
      <c r="T29" s="7"/>
      <c r="U29" s="2028" t="s">
        <v>1331</v>
      </c>
      <c r="V29" s="727" t="s">
        <v>1577</v>
      </c>
      <c r="W29" s="727"/>
      <c r="X29" s="727"/>
      <c r="Y29" s="727"/>
      <c r="Z29" s="727"/>
      <c r="AA29" s="727"/>
      <c r="AB29" s="727"/>
      <c r="AC29" s="2030"/>
    </row>
    <row r="30" spans="1:29" s="1791" customFormat="1" ht="16.899999999999999" customHeight="1" x14ac:dyDescent="0.3">
      <c r="B30" s="1791" t="s">
        <v>1331</v>
      </c>
      <c r="C30" s="1791" t="s">
        <v>1333</v>
      </c>
      <c r="O30" s="1717" t="s">
        <v>1425</v>
      </c>
      <c r="P30" s="1717"/>
      <c r="Q30" s="319" t="s">
        <v>1426</v>
      </c>
      <c r="U30" s="2031" t="s">
        <v>1331</v>
      </c>
      <c r="V30" s="2032" t="s">
        <v>1418</v>
      </c>
      <c r="W30" s="2032"/>
      <c r="X30" s="2032"/>
      <c r="Y30" s="2032"/>
      <c r="Z30" s="2032"/>
      <c r="AA30" s="2032"/>
      <c r="AB30" s="2032"/>
      <c r="AC30" s="2033"/>
    </row>
    <row r="31" spans="1:29" s="7" customFormat="1" ht="16.899999999999999" customHeight="1" x14ac:dyDescent="0.3">
      <c r="A31" s="1791"/>
      <c r="B31" s="1791" t="s">
        <v>1331</v>
      </c>
      <c r="C31" s="1791" t="s">
        <v>1334</v>
      </c>
      <c r="D31" s="1791"/>
      <c r="E31" s="1791"/>
      <c r="F31" s="1791"/>
      <c r="G31" s="1791"/>
      <c r="H31" s="1791"/>
      <c r="I31" s="1791"/>
      <c r="J31" s="1791"/>
      <c r="K31" s="1791"/>
      <c r="L31" s="1791"/>
      <c r="M31" s="1791"/>
      <c r="N31" s="1791"/>
      <c r="O31" s="1717" t="s">
        <v>1425</v>
      </c>
      <c r="P31" s="1717"/>
      <c r="Q31" s="319" t="s">
        <v>1426</v>
      </c>
      <c r="R31" s="1791"/>
      <c r="S31" s="1791"/>
      <c r="T31" s="1791"/>
      <c r="U31" s="1791"/>
      <c r="V31" s="1791"/>
      <c r="W31" s="1791"/>
      <c r="X31" s="1791"/>
      <c r="Y31" s="1791"/>
    </row>
    <row r="32" spans="1:29" s="1791" customFormat="1" ht="16.899999999999999" customHeight="1" x14ac:dyDescent="0.3">
      <c r="A32" s="7"/>
      <c r="B32" s="1831" t="s">
        <v>1566</v>
      </c>
      <c r="C32" s="1831"/>
      <c r="D32" s="1831"/>
      <c r="E32" s="1831"/>
      <c r="F32" s="1831"/>
      <c r="G32" s="1831"/>
      <c r="H32" s="1831"/>
      <c r="I32" s="1831"/>
      <c r="J32" s="1831"/>
      <c r="K32" s="1831"/>
      <c r="L32" s="1831"/>
      <c r="M32" s="1831"/>
      <c r="N32" s="1831"/>
      <c r="O32" s="1949" t="s">
        <v>1415</v>
      </c>
      <c r="P32" s="1995"/>
      <c r="Q32" s="4"/>
      <c r="R32" s="7"/>
      <c r="S32" s="7"/>
      <c r="T32" s="7"/>
    </row>
    <row r="33" spans="1:20" s="319" customFormat="1" ht="16.899999999999999" customHeight="1" x14ac:dyDescent="0.3">
      <c r="A33" s="1791"/>
      <c r="B33" s="1791" t="s">
        <v>1331</v>
      </c>
      <c r="C33" s="1791" t="s">
        <v>1335</v>
      </c>
      <c r="D33" s="1791"/>
      <c r="E33" s="1791"/>
      <c r="F33" s="1791"/>
      <c r="G33" s="1791"/>
      <c r="H33" s="1791"/>
      <c r="I33" s="1791"/>
      <c r="J33" s="1791"/>
      <c r="K33" s="1791"/>
      <c r="L33" s="1791"/>
      <c r="M33" s="1791"/>
      <c r="N33" s="1791"/>
      <c r="O33" s="1717" t="s">
        <v>266</v>
      </c>
      <c r="P33" s="1717"/>
      <c r="Q33" s="319" t="s">
        <v>1426</v>
      </c>
      <c r="R33" s="1791"/>
      <c r="S33" s="1791"/>
      <c r="T33" s="1791"/>
    </row>
    <row r="34" spans="1:20" s="319" customFormat="1" ht="16.899999999999999" customHeight="1" x14ac:dyDescent="0.3">
      <c r="C34" s="1792" t="s">
        <v>485</v>
      </c>
      <c r="D34" s="1793" t="s">
        <v>1336</v>
      </c>
      <c r="O34" s="1717" t="s">
        <v>266</v>
      </c>
      <c r="P34" s="1717"/>
      <c r="Q34" s="319" t="s">
        <v>1426</v>
      </c>
    </row>
    <row r="35" spans="1:20" s="319" customFormat="1" ht="16.899999999999999" customHeight="1" x14ac:dyDescent="0.3">
      <c r="C35" s="1792" t="s">
        <v>485</v>
      </c>
      <c r="D35" s="1793" t="s">
        <v>905</v>
      </c>
      <c r="O35" s="1717" t="s">
        <v>266</v>
      </c>
      <c r="P35" s="1717"/>
      <c r="Q35" s="319" t="s">
        <v>1426</v>
      </c>
    </row>
    <row r="36" spans="1:20" s="1791" customFormat="1" ht="16.899999999999999" customHeight="1" x14ac:dyDescent="0.3">
      <c r="A36" s="319"/>
      <c r="B36" s="319"/>
      <c r="C36" s="1792" t="s">
        <v>485</v>
      </c>
      <c r="D36" s="1793" t="s">
        <v>1335</v>
      </c>
      <c r="E36" s="319"/>
      <c r="F36" s="319"/>
      <c r="G36" s="319"/>
      <c r="H36" s="319"/>
      <c r="I36" s="319"/>
      <c r="J36" s="319"/>
      <c r="K36" s="319"/>
      <c r="L36" s="319"/>
      <c r="M36" s="319"/>
      <c r="N36" s="319"/>
      <c r="O36" s="1717" t="s">
        <v>266</v>
      </c>
      <c r="P36" s="1717"/>
      <c r="Q36" s="319" t="s">
        <v>1426</v>
      </c>
      <c r="R36" s="319"/>
      <c r="S36" s="319"/>
      <c r="T36" s="319"/>
    </row>
    <row r="37" spans="1:20" s="319" customFormat="1" ht="16.899999999999999" customHeight="1" x14ac:dyDescent="0.3">
      <c r="A37" s="1791"/>
      <c r="B37" s="1791" t="s">
        <v>1331</v>
      </c>
      <c r="C37" s="1791" t="s">
        <v>280</v>
      </c>
      <c r="D37" s="1791"/>
      <c r="E37" s="1791"/>
      <c r="F37" s="1791"/>
      <c r="G37" s="1791"/>
      <c r="H37" s="1791"/>
      <c r="I37" s="1791"/>
      <c r="J37" s="1791"/>
      <c r="K37" s="1791"/>
      <c r="L37" s="1791"/>
      <c r="M37" s="1791"/>
      <c r="N37" s="1791"/>
      <c r="O37" s="1717" t="s">
        <v>1427</v>
      </c>
      <c r="P37" s="1717"/>
      <c r="Q37" s="319" t="s">
        <v>1426</v>
      </c>
      <c r="R37" s="1791"/>
      <c r="S37" s="1791"/>
      <c r="T37" s="1791"/>
    </row>
    <row r="38" spans="1:20" s="319" customFormat="1" ht="16.899999999999999" customHeight="1" x14ac:dyDescent="0.3">
      <c r="C38" s="1792" t="s">
        <v>485</v>
      </c>
      <c r="D38" s="319" t="s">
        <v>1337</v>
      </c>
      <c r="O38" s="1717" t="s">
        <v>1427</v>
      </c>
      <c r="P38" s="1717"/>
      <c r="Q38" s="319" t="s">
        <v>1426</v>
      </c>
    </row>
    <row r="39" spans="1:20" s="319" customFormat="1" ht="16.899999999999999" customHeight="1" x14ac:dyDescent="0.3">
      <c r="C39" s="1792" t="s">
        <v>485</v>
      </c>
      <c r="D39" s="319" t="s">
        <v>1562</v>
      </c>
      <c r="O39" s="1717" t="s">
        <v>1427</v>
      </c>
      <c r="P39" s="1717"/>
      <c r="Q39" s="319" t="s">
        <v>1426</v>
      </c>
    </row>
    <row r="40" spans="1:20" s="319" customFormat="1" ht="16.899999999999999" customHeight="1" x14ac:dyDescent="0.3">
      <c r="C40" s="1792" t="s">
        <v>485</v>
      </c>
      <c r="D40" s="319" t="s">
        <v>905</v>
      </c>
      <c r="O40" s="1717" t="s">
        <v>1427</v>
      </c>
      <c r="P40" s="1717"/>
      <c r="Q40" s="319" t="s">
        <v>1426</v>
      </c>
    </row>
    <row r="41" spans="1:20" s="319" customFormat="1" ht="16.899999999999999" customHeight="1" x14ac:dyDescent="0.3">
      <c r="C41" s="1792" t="s">
        <v>485</v>
      </c>
      <c r="D41" s="319" t="s">
        <v>1186</v>
      </c>
      <c r="O41" s="1717" t="s">
        <v>1427</v>
      </c>
      <c r="P41" s="1717"/>
      <c r="Q41" s="319" t="s">
        <v>1426</v>
      </c>
    </row>
    <row r="42" spans="1:20" s="1791" customFormat="1" ht="16.899999999999999" customHeight="1" x14ac:dyDescent="0.3">
      <c r="A42" s="319"/>
      <c r="B42" s="319"/>
      <c r="C42" s="1792" t="s">
        <v>485</v>
      </c>
      <c r="D42" s="319" t="s">
        <v>1338</v>
      </c>
      <c r="E42" s="319"/>
      <c r="F42" s="319"/>
      <c r="G42" s="319"/>
      <c r="H42" s="319"/>
      <c r="I42" s="319"/>
      <c r="J42" s="319"/>
      <c r="K42" s="319"/>
      <c r="L42" s="319"/>
      <c r="M42" s="319"/>
      <c r="N42" s="319"/>
      <c r="O42" s="1717" t="s">
        <v>1427</v>
      </c>
      <c r="P42" s="1717"/>
      <c r="Q42" s="319" t="s">
        <v>1426</v>
      </c>
      <c r="R42" s="319"/>
      <c r="S42" s="319"/>
      <c r="T42" s="319"/>
    </row>
    <row r="43" spans="1:20" s="319" customFormat="1" ht="16.899999999999999" customHeight="1" x14ac:dyDescent="0.3">
      <c r="A43" s="1791"/>
      <c r="B43" s="1791" t="s">
        <v>1331</v>
      </c>
      <c r="C43" s="1791" t="s">
        <v>332</v>
      </c>
      <c r="D43" s="1791"/>
      <c r="E43" s="1791"/>
      <c r="F43" s="1791"/>
      <c r="G43" s="1791"/>
      <c r="H43" s="1791"/>
      <c r="I43" s="1791"/>
      <c r="J43" s="1791"/>
      <c r="K43" s="1791"/>
      <c r="L43" s="1791"/>
      <c r="M43" s="1791"/>
      <c r="N43" s="1791"/>
      <c r="O43" s="1717" t="s">
        <v>331</v>
      </c>
      <c r="P43" s="1717"/>
      <c r="Q43" s="319" t="s">
        <v>1426</v>
      </c>
      <c r="R43" s="1791"/>
      <c r="S43" s="1791"/>
      <c r="T43" s="1791"/>
    </row>
    <row r="44" spans="1:20" s="319" customFormat="1" ht="16.899999999999999" customHeight="1" x14ac:dyDescent="0.3">
      <c r="C44" s="1792" t="s">
        <v>485</v>
      </c>
      <c r="D44" s="319" t="s">
        <v>1341</v>
      </c>
      <c r="O44" s="1717" t="s">
        <v>331</v>
      </c>
      <c r="P44" s="1717"/>
      <c r="Q44" s="319" t="s">
        <v>1426</v>
      </c>
    </row>
    <row r="45" spans="1:20" s="319" customFormat="1" ht="16.899999999999999" customHeight="1" x14ac:dyDescent="0.3">
      <c r="C45" s="1792" t="s">
        <v>485</v>
      </c>
      <c r="D45" s="319" t="s">
        <v>1342</v>
      </c>
      <c r="O45" s="1717" t="s">
        <v>331</v>
      </c>
      <c r="P45" s="1717"/>
      <c r="Q45" s="319" t="s">
        <v>1426</v>
      </c>
    </row>
    <row r="46" spans="1:20" s="319" customFormat="1" ht="16.899999999999999" customHeight="1" x14ac:dyDescent="0.3">
      <c r="C46" s="1792" t="s">
        <v>485</v>
      </c>
      <c r="D46" s="319" t="s">
        <v>905</v>
      </c>
      <c r="O46" s="1717" t="s">
        <v>331</v>
      </c>
      <c r="P46" s="1717"/>
      <c r="Q46" s="319" t="s">
        <v>1426</v>
      </c>
    </row>
    <row r="47" spans="1:20" s="319" customFormat="1" ht="16.899999999999999" customHeight="1" x14ac:dyDescent="0.3">
      <c r="C47" s="1792" t="s">
        <v>485</v>
      </c>
      <c r="D47" s="319" t="s">
        <v>1186</v>
      </c>
      <c r="O47" s="1717" t="s">
        <v>331</v>
      </c>
      <c r="P47" s="1717"/>
      <c r="Q47" s="319" t="s">
        <v>1426</v>
      </c>
    </row>
    <row r="48" spans="1:20" s="1791" customFormat="1" ht="16.899999999999999" customHeight="1" x14ac:dyDescent="0.3">
      <c r="A48" s="319"/>
      <c r="B48" s="319"/>
      <c r="C48" s="1792" t="s">
        <v>485</v>
      </c>
      <c r="D48" s="319" t="s">
        <v>332</v>
      </c>
      <c r="E48" s="319"/>
      <c r="F48" s="319"/>
      <c r="G48" s="319"/>
      <c r="H48" s="319"/>
      <c r="I48" s="319"/>
      <c r="J48" s="319"/>
      <c r="K48" s="319"/>
      <c r="L48" s="319"/>
      <c r="M48" s="319"/>
      <c r="N48" s="319"/>
      <c r="O48" s="1717" t="s">
        <v>331</v>
      </c>
      <c r="P48" s="1717"/>
      <c r="Q48" s="319" t="s">
        <v>1426</v>
      </c>
      <c r="R48" s="319"/>
      <c r="S48" s="319"/>
      <c r="T48" s="319"/>
    </row>
    <row r="49" spans="1:25" s="319" customFormat="1" ht="16.899999999999999" customHeight="1" x14ac:dyDescent="0.3">
      <c r="A49" s="1791"/>
      <c r="B49" s="1791" t="s">
        <v>1331</v>
      </c>
      <c r="C49" s="1791" t="s">
        <v>1345</v>
      </c>
      <c r="D49" s="1791"/>
      <c r="E49" s="1791"/>
      <c r="F49" s="1791"/>
      <c r="G49" s="1791"/>
      <c r="H49" s="1791"/>
      <c r="I49" s="1791"/>
      <c r="J49" s="1791"/>
      <c r="K49" s="1791"/>
      <c r="L49" s="1791"/>
      <c r="M49" s="1791"/>
      <c r="N49" s="1791"/>
      <c r="O49" s="1717" t="s">
        <v>1428</v>
      </c>
      <c r="P49" s="1717"/>
      <c r="Q49" s="319" t="s">
        <v>1426</v>
      </c>
      <c r="R49" s="1791"/>
      <c r="S49" s="1791"/>
      <c r="T49" s="1791"/>
    </row>
    <row r="50" spans="1:25" s="7" customFormat="1" ht="16.899999999999999" customHeight="1" x14ac:dyDescent="0.3">
      <c r="A50" s="319"/>
      <c r="B50" s="319"/>
      <c r="C50" s="1792" t="s">
        <v>485</v>
      </c>
      <c r="D50" s="319" t="s">
        <v>1344</v>
      </c>
      <c r="E50" s="319"/>
      <c r="F50" s="319"/>
      <c r="G50" s="319"/>
      <c r="H50" s="319"/>
      <c r="I50" s="319"/>
      <c r="J50" s="319"/>
      <c r="K50" s="319"/>
      <c r="L50" s="319"/>
      <c r="M50" s="319"/>
      <c r="N50" s="319"/>
      <c r="O50" s="1717" t="s">
        <v>1428</v>
      </c>
      <c r="P50" s="1717"/>
      <c r="Q50" s="319" t="s">
        <v>1426</v>
      </c>
      <c r="R50" s="319"/>
      <c r="S50" s="319"/>
      <c r="T50" s="319"/>
      <c r="U50" s="1791"/>
      <c r="V50" s="1791"/>
      <c r="W50" s="1791"/>
      <c r="X50" s="1791"/>
      <c r="Y50" s="1791"/>
    </row>
    <row r="51" spans="1:25" ht="16.899999999999999" customHeight="1" x14ac:dyDescent="0.3">
      <c r="A51" s="7"/>
      <c r="B51" s="1791" t="s">
        <v>1331</v>
      </c>
      <c r="C51" s="1791" t="s">
        <v>1347</v>
      </c>
      <c r="D51" s="1791"/>
      <c r="E51" s="7"/>
      <c r="F51" s="7"/>
      <c r="G51" s="7"/>
      <c r="H51" s="7"/>
      <c r="I51" s="7"/>
      <c r="J51" s="7"/>
      <c r="K51" s="7"/>
      <c r="L51" s="7"/>
      <c r="M51" s="7"/>
      <c r="N51" s="7"/>
      <c r="O51" s="6" t="s">
        <v>400</v>
      </c>
      <c r="Q51" s="319" t="s">
        <v>1426</v>
      </c>
      <c r="R51" s="7"/>
      <c r="S51" s="7"/>
      <c r="T51" s="7"/>
    </row>
    <row r="52" spans="1:25" ht="16.899999999999999" customHeight="1" x14ac:dyDescent="0.3">
      <c r="C52" s="1792" t="s">
        <v>485</v>
      </c>
      <c r="D52" s="319" t="s">
        <v>1348</v>
      </c>
      <c r="O52" s="6" t="s">
        <v>400</v>
      </c>
      <c r="Q52" s="319" t="s">
        <v>1426</v>
      </c>
    </row>
    <row r="53" spans="1:25" ht="16.899999999999999" customHeight="1" x14ac:dyDescent="0.3">
      <c r="C53" s="1792" t="s">
        <v>485</v>
      </c>
      <c r="D53" s="319" t="s">
        <v>1349</v>
      </c>
      <c r="O53" s="6" t="s">
        <v>400</v>
      </c>
      <c r="Q53" s="319" t="s">
        <v>1426</v>
      </c>
    </row>
    <row r="54" spans="1:25" s="7" customFormat="1" ht="16.899999999999999" customHeight="1" x14ac:dyDescent="0.3">
      <c r="A54" s="4"/>
      <c r="B54" s="4"/>
      <c r="C54" s="1792" t="s">
        <v>485</v>
      </c>
      <c r="D54" s="319" t="s">
        <v>1186</v>
      </c>
      <c r="E54" s="4"/>
      <c r="F54" s="4"/>
      <c r="G54" s="4"/>
      <c r="H54" s="4"/>
      <c r="I54" s="4"/>
      <c r="J54" s="4"/>
      <c r="K54" s="4"/>
      <c r="L54" s="4"/>
      <c r="M54" s="4"/>
      <c r="N54" s="4"/>
      <c r="O54" s="6" t="s">
        <v>400</v>
      </c>
      <c r="P54" s="6"/>
      <c r="Q54" s="319" t="s">
        <v>1426</v>
      </c>
      <c r="R54" s="4"/>
      <c r="S54" s="4"/>
      <c r="T54" s="4"/>
      <c r="U54" s="1791"/>
      <c r="V54" s="1791"/>
      <c r="W54" s="1791"/>
      <c r="X54" s="1791"/>
      <c r="Y54" s="1791"/>
    </row>
    <row r="55" spans="1:25" ht="16.899999999999999" customHeight="1" x14ac:dyDescent="0.3">
      <c r="A55" s="7"/>
      <c r="B55" s="1791" t="s">
        <v>1331</v>
      </c>
      <c r="C55" s="1791" t="s">
        <v>1351</v>
      </c>
      <c r="D55" s="1791"/>
      <c r="E55" s="7"/>
      <c r="F55" s="7"/>
      <c r="G55" s="7"/>
      <c r="H55" s="7"/>
      <c r="I55" s="7"/>
      <c r="J55" s="7"/>
      <c r="K55" s="7"/>
      <c r="L55" s="7"/>
      <c r="M55" s="7"/>
      <c r="N55" s="7"/>
      <c r="O55" s="6" t="s">
        <v>402</v>
      </c>
      <c r="Q55" s="319" t="s">
        <v>1426</v>
      </c>
      <c r="R55" s="7"/>
      <c r="S55" s="7"/>
      <c r="T55" s="7"/>
    </row>
    <row r="56" spans="1:25" ht="16.899999999999999" customHeight="1" x14ac:dyDescent="0.3">
      <c r="C56" s="1792" t="s">
        <v>485</v>
      </c>
      <c r="D56" s="319" t="s">
        <v>1147</v>
      </c>
      <c r="O56" s="6" t="s">
        <v>402</v>
      </c>
      <c r="Q56" s="319" t="s">
        <v>1426</v>
      </c>
    </row>
    <row r="57" spans="1:25" ht="16.899999999999999" customHeight="1" x14ac:dyDescent="0.3">
      <c r="C57" s="1792" t="s">
        <v>485</v>
      </c>
      <c r="D57" s="319" t="s">
        <v>1148</v>
      </c>
      <c r="O57" s="6" t="s">
        <v>402</v>
      </c>
      <c r="Q57" s="319" t="s">
        <v>1426</v>
      </c>
    </row>
    <row r="58" spans="1:25" ht="16.899999999999999" customHeight="1" x14ac:dyDescent="0.3">
      <c r="C58" s="1792" t="s">
        <v>485</v>
      </c>
      <c r="D58" s="319" t="s">
        <v>1150</v>
      </c>
      <c r="O58" s="6" t="s">
        <v>402</v>
      </c>
      <c r="Q58" s="319" t="s">
        <v>1426</v>
      </c>
    </row>
    <row r="59" spans="1:25" s="7" customFormat="1" ht="16.899999999999999" customHeight="1" x14ac:dyDescent="0.3">
      <c r="A59" s="4"/>
      <c r="B59" s="4"/>
      <c r="C59" s="1792" t="s">
        <v>485</v>
      </c>
      <c r="D59" s="319" t="s">
        <v>1202</v>
      </c>
      <c r="E59" s="4"/>
      <c r="F59" s="4"/>
      <c r="G59" s="4"/>
      <c r="H59" s="4"/>
      <c r="I59" s="4"/>
      <c r="J59" s="4"/>
      <c r="K59" s="4"/>
      <c r="L59" s="4"/>
      <c r="M59" s="4"/>
      <c r="N59" s="4"/>
      <c r="O59" s="6" t="s">
        <v>402</v>
      </c>
      <c r="P59" s="6"/>
      <c r="Q59" s="319" t="s">
        <v>1426</v>
      </c>
      <c r="R59" s="4"/>
      <c r="S59" s="4"/>
      <c r="T59" s="4"/>
      <c r="U59" s="1791"/>
      <c r="V59" s="1791"/>
      <c r="W59" s="1791"/>
      <c r="X59" s="1791"/>
      <c r="Y59" s="1791"/>
    </row>
    <row r="60" spans="1:25" ht="16.899999999999999" customHeight="1" x14ac:dyDescent="0.3">
      <c r="A60" s="7"/>
      <c r="B60" s="1791" t="s">
        <v>1331</v>
      </c>
      <c r="C60" s="1791" t="s">
        <v>1203</v>
      </c>
      <c r="D60" s="1791"/>
      <c r="E60" s="7"/>
      <c r="F60" s="7"/>
      <c r="G60" s="7"/>
      <c r="H60" s="7"/>
      <c r="I60" s="7"/>
      <c r="J60" s="7"/>
      <c r="K60" s="7"/>
      <c r="L60" s="7"/>
      <c r="M60" s="7"/>
      <c r="N60" s="7"/>
      <c r="O60" s="6" t="s">
        <v>402</v>
      </c>
      <c r="Q60" s="319" t="s">
        <v>1426</v>
      </c>
      <c r="R60" s="7"/>
      <c r="S60" s="7"/>
      <c r="T60" s="7"/>
    </row>
    <row r="61" spans="1:25" ht="16.899999999999999" customHeight="1" x14ac:dyDescent="0.3">
      <c r="C61" s="1792" t="s">
        <v>485</v>
      </c>
      <c r="D61" s="319" t="s">
        <v>1142</v>
      </c>
      <c r="O61" s="6" t="s">
        <v>402</v>
      </c>
      <c r="Q61" s="319" t="s">
        <v>1426</v>
      </c>
    </row>
    <row r="62" spans="1:25" ht="16.899999999999999" customHeight="1" x14ac:dyDescent="0.3">
      <c r="C62" s="1792" t="s">
        <v>485</v>
      </c>
      <c r="D62" s="319" t="s">
        <v>1143</v>
      </c>
      <c r="O62" s="6" t="s">
        <v>402</v>
      </c>
      <c r="Q62" s="319" t="s">
        <v>1426</v>
      </c>
    </row>
    <row r="63" spans="1:25" ht="16.899999999999999" customHeight="1" x14ac:dyDescent="0.3">
      <c r="C63" s="1792" t="s">
        <v>485</v>
      </c>
      <c r="D63" s="319" t="s">
        <v>1141</v>
      </c>
      <c r="O63" s="6" t="s">
        <v>402</v>
      </c>
      <c r="Q63" s="319" t="s">
        <v>1426</v>
      </c>
    </row>
    <row r="64" spans="1:25" s="7" customFormat="1" ht="16.899999999999999" customHeight="1" x14ac:dyDescent="0.3">
      <c r="A64" s="4"/>
      <c r="B64" s="4"/>
      <c r="C64" s="1792" t="s">
        <v>485</v>
      </c>
      <c r="D64" s="319" t="s">
        <v>1203</v>
      </c>
      <c r="E64" s="4"/>
      <c r="F64" s="4"/>
      <c r="G64" s="4"/>
      <c r="H64" s="4"/>
      <c r="I64" s="4"/>
      <c r="J64" s="4"/>
      <c r="K64" s="4"/>
      <c r="L64" s="4"/>
      <c r="M64" s="4"/>
      <c r="N64" s="4"/>
      <c r="O64" s="6" t="s">
        <v>402</v>
      </c>
      <c r="P64" s="6"/>
      <c r="Q64" s="319" t="s">
        <v>1426</v>
      </c>
      <c r="R64" s="4"/>
      <c r="S64" s="4"/>
      <c r="T64" s="4"/>
      <c r="U64" s="1791"/>
      <c r="V64" s="1791"/>
      <c r="W64" s="1791"/>
      <c r="X64" s="1791"/>
      <c r="Y64" s="1791"/>
    </row>
    <row r="65" spans="1:20" ht="16.899999999999999" customHeight="1" x14ac:dyDescent="0.3">
      <c r="A65" s="7"/>
      <c r="B65" s="1791" t="s">
        <v>1331</v>
      </c>
      <c r="C65" s="1791" t="s">
        <v>1352</v>
      </c>
      <c r="D65" s="1791"/>
      <c r="E65" s="7"/>
      <c r="F65" s="7"/>
      <c r="G65" s="7"/>
      <c r="H65" s="7"/>
      <c r="I65" s="7"/>
      <c r="J65" s="7"/>
      <c r="K65" s="7"/>
      <c r="L65" s="7"/>
      <c r="M65" s="7"/>
      <c r="N65" s="7"/>
      <c r="O65" s="6" t="s">
        <v>1429</v>
      </c>
      <c r="Q65" s="319" t="s">
        <v>1426</v>
      </c>
      <c r="R65" s="7"/>
      <c r="S65" s="7"/>
      <c r="T65" s="7"/>
    </row>
    <row r="66" spans="1:20" ht="16.899999999999999" customHeight="1" x14ac:dyDescent="0.3">
      <c r="C66" s="1792" t="s">
        <v>485</v>
      </c>
      <c r="D66" s="319" t="s">
        <v>1353</v>
      </c>
      <c r="O66" s="6" t="s">
        <v>1429</v>
      </c>
      <c r="Q66" s="319" t="s">
        <v>1426</v>
      </c>
    </row>
    <row r="67" spans="1:20" ht="16.899999999999999" customHeight="1" x14ac:dyDescent="0.3">
      <c r="B67" s="1791" t="s">
        <v>1331</v>
      </c>
      <c r="C67" s="1791" t="s">
        <v>1354</v>
      </c>
      <c r="D67" s="1791"/>
      <c r="O67" s="6" t="s">
        <v>1430</v>
      </c>
      <c r="Q67" s="319" t="s">
        <v>1426</v>
      </c>
    </row>
    <row r="68" spans="1:20" ht="16.899999999999999" customHeight="1" x14ac:dyDescent="0.3">
      <c r="C68" s="1792" t="s">
        <v>485</v>
      </c>
      <c r="D68" s="319" t="s">
        <v>1355</v>
      </c>
      <c r="O68" s="6" t="s">
        <v>1430</v>
      </c>
      <c r="Q68" s="319" t="s">
        <v>1426</v>
      </c>
    </row>
    <row r="69" spans="1:20" ht="16.899999999999999" customHeight="1" x14ac:dyDescent="0.3">
      <c r="B69" s="1791" t="s">
        <v>1331</v>
      </c>
      <c r="C69" s="1791" t="s">
        <v>1363</v>
      </c>
      <c r="D69" s="1791"/>
      <c r="O69" s="6" t="s">
        <v>1431</v>
      </c>
      <c r="Q69" s="319" t="s">
        <v>1426</v>
      </c>
    </row>
    <row r="70" spans="1:20" ht="16.899999999999999" customHeight="1" x14ac:dyDescent="0.3">
      <c r="B70" s="1791" t="s">
        <v>1331</v>
      </c>
      <c r="C70" s="1791" t="s">
        <v>1362</v>
      </c>
      <c r="D70" s="1791"/>
      <c r="O70" s="6" t="s">
        <v>1432</v>
      </c>
      <c r="Q70" s="319" t="s">
        <v>1426</v>
      </c>
    </row>
    <row r="71" spans="1:20" ht="16.899999999999999" customHeight="1" x14ac:dyDescent="0.3">
      <c r="B71" s="1791" t="s">
        <v>1331</v>
      </c>
      <c r="C71" s="1791" t="s">
        <v>1433</v>
      </c>
      <c r="D71" s="1791"/>
      <c r="O71" s="6" t="s">
        <v>1434</v>
      </c>
      <c r="Q71" s="319" t="s">
        <v>1426</v>
      </c>
    </row>
    <row r="72" spans="1:20" ht="16.899999999999999" customHeight="1" x14ac:dyDescent="0.3">
      <c r="B72" s="1831" t="s">
        <v>1324</v>
      </c>
      <c r="C72" s="1831"/>
      <c r="D72" s="1831"/>
      <c r="E72" s="1831"/>
      <c r="F72" s="1831"/>
      <c r="G72" s="1831"/>
      <c r="H72" s="1831"/>
      <c r="I72" s="1831"/>
      <c r="J72" s="1831"/>
      <c r="K72" s="1831"/>
      <c r="L72" s="1831" t="s">
        <v>1476</v>
      </c>
      <c r="M72" s="1831"/>
      <c r="N72" s="1831"/>
      <c r="O72" s="1950" t="s">
        <v>1415</v>
      </c>
      <c r="P72" s="1996"/>
    </row>
    <row r="73" spans="1:20" ht="16.899999999999999" customHeight="1" x14ac:dyDescent="0.3">
      <c r="B73" s="1791" t="s">
        <v>1331</v>
      </c>
      <c r="C73" s="1791" t="s">
        <v>1413</v>
      </c>
      <c r="D73" s="1791"/>
      <c r="E73" s="7"/>
      <c r="F73" s="7"/>
      <c r="G73" s="7"/>
      <c r="H73" s="7"/>
      <c r="L73" s="105" t="s">
        <v>1471</v>
      </c>
    </row>
    <row r="74" spans="1:20" ht="16.899999999999999" customHeight="1" x14ac:dyDescent="0.3">
      <c r="C74" s="1792" t="s">
        <v>485</v>
      </c>
      <c r="D74" s="1947" t="s">
        <v>1414</v>
      </c>
      <c r="Q74" s="319" t="s">
        <v>1426</v>
      </c>
    </row>
    <row r="75" spans="1:20" ht="16.899999999999999" customHeight="1" x14ac:dyDescent="0.3">
      <c r="C75" s="1792" t="s">
        <v>485</v>
      </c>
      <c r="D75" s="4" t="s">
        <v>1435</v>
      </c>
      <c r="O75" s="6" t="s">
        <v>458</v>
      </c>
      <c r="Q75" s="319" t="s">
        <v>1426</v>
      </c>
    </row>
    <row r="76" spans="1:20" ht="16.899999999999999" customHeight="1" x14ac:dyDescent="0.3">
      <c r="C76" s="1792" t="s">
        <v>485</v>
      </c>
      <c r="D76" s="319" t="s">
        <v>515</v>
      </c>
      <c r="O76" s="6" t="s">
        <v>512</v>
      </c>
      <c r="Q76" s="319" t="s">
        <v>1426</v>
      </c>
    </row>
    <row r="77" spans="1:20" ht="16.899999999999999" customHeight="1" x14ac:dyDescent="0.3">
      <c r="A77" s="1952"/>
      <c r="B77" s="1791" t="s">
        <v>1331</v>
      </c>
      <c r="C77" s="1791" t="s">
        <v>513</v>
      </c>
      <c r="L77" s="4" t="s">
        <v>1472</v>
      </c>
      <c r="Q77" s="1994" t="s">
        <v>1460</v>
      </c>
    </row>
    <row r="78" spans="1:20" ht="16.899999999999999" customHeight="1" x14ac:dyDescent="0.3">
      <c r="B78" s="1791" t="s">
        <v>1331</v>
      </c>
      <c r="C78" s="1791" t="s">
        <v>1467</v>
      </c>
      <c r="L78" s="105" t="s">
        <v>1473</v>
      </c>
      <c r="Q78" s="1994" t="s">
        <v>1460</v>
      </c>
    </row>
    <row r="79" spans="1:20" ht="16.899999999999999" customHeight="1" x14ac:dyDescent="0.3">
      <c r="B79" s="1791" t="s">
        <v>1331</v>
      </c>
      <c r="C79" s="1791" t="s">
        <v>1468</v>
      </c>
      <c r="L79" s="105" t="s">
        <v>1473</v>
      </c>
      <c r="Q79" s="1994" t="s">
        <v>1460</v>
      </c>
    </row>
    <row r="80" spans="1:20" ht="16.899999999999999" customHeight="1" x14ac:dyDescent="0.3">
      <c r="B80" s="1791" t="s">
        <v>1331</v>
      </c>
      <c r="C80" s="1791" t="s">
        <v>1469</v>
      </c>
      <c r="L80" s="4" t="s">
        <v>1472</v>
      </c>
      <c r="Q80" s="1994" t="s">
        <v>1460</v>
      </c>
    </row>
    <row r="81" spans="2:17" ht="16.899999999999999" customHeight="1" x14ac:dyDescent="0.3">
      <c r="B81" s="1791" t="s">
        <v>1331</v>
      </c>
      <c r="C81" s="1791" t="s">
        <v>1470</v>
      </c>
      <c r="L81" s="4" t="s">
        <v>1472</v>
      </c>
      <c r="Q81" s="2007" t="s">
        <v>1561</v>
      </c>
    </row>
    <row r="82" spans="2:17" ht="16.899999999999999" customHeight="1" x14ac:dyDescent="0.3">
      <c r="B82" s="1831" t="s">
        <v>1416</v>
      </c>
      <c r="C82" s="1831"/>
      <c r="D82" s="1831"/>
      <c r="E82" s="1831"/>
      <c r="F82" s="1831"/>
      <c r="G82" s="1831"/>
      <c r="H82" s="1831"/>
      <c r="I82" s="1831"/>
      <c r="J82" s="1831"/>
      <c r="K82" s="1831"/>
      <c r="L82" s="1831"/>
      <c r="M82" s="1831"/>
      <c r="N82" s="1831"/>
      <c r="O82" s="1950" t="s">
        <v>1415</v>
      </c>
      <c r="P82" s="1996"/>
    </row>
    <row r="83" spans="2:17" ht="16.899999999999999" customHeight="1" x14ac:dyDescent="0.3">
      <c r="B83" s="1791" t="s">
        <v>1331</v>
      </c>
      <c r="C83" s="1791" t="s">
        <v>1417</v>
      </c>
      <c r="O83" s="1951" t="s">
        <v>1419</v>
      </c>
      <c r="P83" s="1951"/>
    </row>
    <row r="84" spans="2:17" ht="16.899999999999999" customHeight="1" x14ac:dyDescent="0.3">
      <c r="B84" s="1791" t="s">
        <v>1331</v>
      </c>
      <c r="C84" s="1791" t="s">
        <v>1577</v>
      </c>
    </row>
    <row r="85" spans="2:17" ht="16.899999999999999" customHeight="1" x14ac:dyDescent="0.3">
      <c r="B85" s="1791" t="s">
        <v>1331</v>
      </c>
      <c r="C85" s="1791" t="s">
        <v>1418</v>
      </c>
      <c r="O85" s="1951" t="s">
        <v>1419</v>
      </c>
      <c r="P85" s="1951"/>
    </row>
    <row r="86" spans="2:17" ht="5.25" customHeight="1" thickBot="1" x14ac:dyDescent="0.35">
      <c r="B86" s="2040"/>
      <c r="C86" s="2040"/>
      <c r="D86" s="2040"/>
      <c r="E86" s="2040"/>
      <c r="F86" s="2040"/>
      <c r="G86" s="2040"/>
      <c r="H86" s="2040"/>
      <c r="I86" s="2040"/>
      <c r="J86" s="2040"/>
      <c r="K86" s="2040"/>
      <c r="L86" s="2040"/>
      <c r="M86" s="2040"/>
      <c r="N86" s="2040"/>
      <c r="O86" s="2041"/>
    </row>
  </sheetData>
  <hyperlinks>
    <hyperlink ref="Q77" r:id="rId1"/>
    <hyperlink ref="Q78" r:id="rId2"/>
    <hyperlink ref="Q79" r:id="rId3"/>
    <hyperlink ref="Q80" r:id="rId4"/>
    <hyperlink ref="U7" r:id="rId5"/>
    <hyperlink ref="U8" r:id="rId6"/>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ayfa1"/>
  <dimension ref="A1:M63"/>
  <sheetViews>
    <sheetView topLeftCell="A16" zoomScale="166" zoomScaleNormal="166" workbookViewId="0">
      <selection activeCell="C7" sqref="C7"/>
    </sheetView>
  </sheetViews>
  <sheetFormatPr defaultColWidth="9.140625" defaultRowHeight="15" x14ac:dyDescent="0.25"/>
  <cols>
    <col min="1" max="1" width="4.28515625" style="4" customWidth="1"/>
    <col min="2" max="2" width="3" style="104" customWidth="1"/>
    <col min="3" max="3" width="36.28515625" style="4" customWidth="1"/>
    <col min="4" max="4" width="16.42578125" style="4" customWidth="1"/>
    <col min="5" max="5" width="12.7109375" style="4" customWidth="1"/>
    <col min="6" max="6" width="12.28515625" style="4" customWidth="1"/>
    <col min="7" max="7" width="12.28515625" style="786" customWidth="1"/>
    <col min="8" max="11" width="12.28515625" style="4" customWidth="1"/>
    <col min="12" max="12" width="9.140625" style="4"/>
    <col min="13" max="13" width="24.85546875" style="4" bestFit="1" customWidth="1"/>
    <col min="14" max="16384" width="9.140625" style="4"/>
  </cols>
  <sheetData>
    <row r="1" spans="1:11" ht="18.75" customHeight="1" x14ac:dyDescent="0.25">
      <c r="A1" s="785"/>
    </row>
    <row r="2" spans="1:11" ht="21" customHeight="1" thickBot="1" x14ac:dyDescent="0.45">
      <c r="B2" s="1268" t="s">
        <v>519</v>
      </c>
      <c r="C2" s="1269"/>
      <c r="D2" s="1269"/>
      <c r="E2" s="1269"/>
      <c r="F2" s="1269"/>
      <c r="G2" s="1269"/>
      <c r="H2" s="1269"/>
      <c r="I2" s="1269"/>
      <c r="J2" s="1269"/>
      <c r="K2" s="1270"/>
    </row>
    <row r="3" spans="1:11" ht="6.75" customHeight="1" thickTop="1" x14ac:dyDescent="0.35">
      <c r="B3" s="787"/>
      <c r="C3" s="788"/>
      <c r="D3" s="788"/>
      <c r="E3" s="788"/>
      <c r="F3" s="789"/>
      <c r="G3" s="790"/>
      <c r="H3" s="788"/>
      <c r="I3" s="788"/>
      <c r="J3" s="788"/>
      <c r="K3" s="788"/>
    </row>
    <row r="4" spans="1:11" ht="18.600000000000001" customHeight="1" x14ac:dyDescent="0.3">
      <c r="B4" s="1762" t="s">
        <v>1323</v>
      </c>
      <c r="C4" s="1763"/>
      <c r="D4" s="1763"/>
      <c r="E4" s="1763"/>
      <c r="F4" s="1763"/>
      <c r="G4" s="1763"/>
      <c r="H4" s="1763"/>
      <c r="I4" s="1763"/>
      <c r="J4" s="1763"/>
      <c r="K4" s="1764"/>
    </row>
    <row r="5" spans="1:11" ht="6" customHeight="1" x14ac:dyDescent="0.25">
      <c r="B5" s="4"/>
      <c r="G5" s="4"/>
    </row>
    <row r="6" spans="1:11" s="122" customFormat="1" ht="18.600000000000001" customHeight="1" x14ac:dyDescent="0.25">
      <c r="B6" s="1757" t="s">
        <v>928</v>
      </c>
      <c r="C6" s="1758"/>
      <c r="D6" s="1754" t="s">
        <v>937</v>
      </c>
      <c r="E6" s="1755"/>
      <c r="F6" s="1755"/>
      <c r="G6" s="1755"/>
      <c r="H6" s="1755"/>
      <c r="I6" s="1755"/>
      <c r="J6" s="1755"/>
      <c r="K6" s="1756"/>
    </row>
    <row r="7" spans="1:11" s="122" customFormat="1" ht="18.600000000000001" customHeight="1" x14ac:dyDescent="0.25">
      <c r="B7" s="1759" t="s">
        <v>959</v>
      </c>
      <c r="C7" s="1760"/>
      <c r="D7" s="1753" t="s">
        <v>960</v>
      </c>
      <c r="E7" s="1750"/>
      <c r="F7" s="694"/>
      <c r="G7" s="1200"/>
      <c r="H7" s="1750"/>
      <c r="I7" s="1750"/>
      <c r="J7" s="1750"/>
      <c r="K7" s="1175"/>
    </row>
    <row r="8" spans="1:11" s="122" customFormat="1" ht="18.600000000000001" customHeight="1" x14ac:dyDescent="0.25">
      <c r="B8" s="1759" t="s">
        <v>1400</v>
      </c>
      <c r="C8" s="1760"/>
      <c r="D8" s="1918">
        <v>12700000000</v>
      </c>
      <c r="E8" s="1750"/>
      <c r="F8" s="694"/>
      <c r="G8" s="1200"/>
      <c r="H8" s="1750"/>
      <c r="I8" s="1750"/>
      <c r="J8" s="1750"/>
      <c r="K8" s="1175"/>
    </row>
    <row r="9" spans="1:11" s="122" customFormat="1" ht="18.600000000000001" customHeight="1" x14ac:dyDescent="0.25">
      <c r="B9" s="1759" t="s">
        <v>929</v>
      </c>
      <c r="C9" s="1760"/>
      <c r="D9" s="1749">
        <v>2015</v>
      </c>
      <c r="E9" s="1750"/>
      <c r="F9" s="694"/>
      <c r="G9" s="1200"/>
      <c r="H9" s="1750"/>
      <c r="I9" s="1750"/>
      <c r="J9" s="1750"/>
      <c r="K9" s="1175"/>
    </row>
    <row r="10" spans="1:11" s="122" customFormat="1" ht="18.600000000000001" customHeight="1" x14ac:dyDescent="0.25">
      <c r="B10" s="1759" t="s">
        <v>1000</v>
      </c>
      <c r="C10" s="1760"/>
      <c r="D10" s="1749">
        <v>3</v>
      </c>
      <c r="E10" s="1750" t="s">
        <v>1805</v>
      </c>
      <c r="F10" s="694"/>
      <c r="G10" s="1200"/>
      <c r="H10" s="1750"/>
      <c r="I10" s="1750"/>
      <c r="J10" s="1750"/>
      <c r="K10" s="1175"/>
    </row>
    <row r="11" spans="1:11" s="122" customFormat="1" ht="18.600000000000001" customHeight="1" x14ac:dyDescent="0.25">
      <c r="B11" s="1759" t="s">
        <v>930</v>
      </c>
      <c r="C11" s="1760"/>
      <c r="D11" s="1751">
        <v>42477</v>
      </c>
      <c r="E11" s="1750"/>
      <c r="F11" s="694"/>
      <c r="G11" s="1200"/>
      <c r="H11" s="1750"/>
      <c r="I11" s="1750"/>
      <c r="J11" s="1750"/>
      <c r="K11" s="1175"/>
    </row>
    <row r="12" spans="1:11" s="122" customFormat="1" ht="18.600000000000001" customHeight="1" x14ac:dyDescent="0.25">
      <c r="B12" s="1759" t="s">
        <v>931</v>
      </c>
      <c r="C12" s="1760"/>
      <c r="D12" s="1752">
        <v>10</v>
      </c>
      <c r="E12" s="1750"/>
      <c r="F12" s="694"/>
      <c r="G12" s="1200"/>
      <c r="H12" s="1750"/>
      <c r="I12" s="1750"/>
      <c r="J12" s="1750"/>
      <c r="K12" s="1175"/>
    </row>
    <row r="13" spans="1:11" s="122" customFormat="1" ht="18.600000000000001" customHeight="1" x14ac:dyDescent="0.25">
      <c r="B13" s="1759" t="s">
        <v>996</v>
      </c>
      <c r="C13" s="1760"/>
      <c r="D13" s="1752">
        <v>3</v>
      </c>
      <c r="E13" s="1750"/>
      <c r="F13" s="694"/>
      <c r="G13" s="1200"/>
      <c r="H13" s="1750"/>
      <c r="I13" s="1750"/>
      <c r="J13" s="1750"/>
      <c r="K13" s="1175"/>
    </row>
    <row r="14" spans="1:11" s="122" customFormat="1" ht="18.600000000000001" customHeight="1" x14ac:dyDescent="0.25">
      <c r="B14" s="1759" t="s">
        <v>934</v>
      </c>
      <c r="C14" s="1760"/>
      <c r="D14" s="1753" t="s">
        <v>925</v>
      </c>
      <c r="E14" s="1753" t="s">
        <v>781</v>
      </c>
      <c r="F14" s="694"/>
      <c r="G14" s="1200"/>
      <c r="H14" s="1750"/>
      <c r="I14" s="1750"/>
      <c r="J14" s="1750"/>
      <c r="K14" s="1175"/>
    </row>
    <row r="15" spans="1:11" s="122" customFormat="1" ht="18.600000000000001" customHeight="1" x14ac:dyDescent="0.25">
      <c r="B15" s="1759" t="s">
        <v>932</v>
      </c>
      <c r="C15" s="1760"/>
      <c r="D15" s="1753" t="s">
        <v>525</v>
      </c>
      <c r="E15" s="1753" t="s">
        <v>935</v>
      </c>
      <c r="F15" s="694"/>
      <c r="G15" s="1200"/>
      <c r="H15" s="1750"/>
      <c r="I15" s="1750"/>
      <c r="J15" s="1750"/>
      <c r="K15" s="1175"/>
    </row>
    <row r="16" spans="1:11" s="122" customFormat="1" ht="18.600000000000001" customHeight="1" x14ac:dyDescent="0.25">
      <c r="B16" s="1776" t="s">
        <v>933</v>
      </c>
      <c r="C16" s="1777"/>
      <c r="D16" s="1778" t="s">
        <v>936</v>
      </c>
      <c r="E16" s="1750"/>
      <c r="F16" s="694"/>
      <c r="G16" s="1200"/>
      <c r="H16" s="1750"/>
      <c r="I16" s="1750"/>
      <c r="J16" s="1750"/>
      <c r="K16" s="1175"/>
    </row>
    <row r="17" spans="1:13" s="122" customFormat="1" ht="18.600000000000001" customHeight="1" x14ac:dyDescent="0.25">
      <c r="B17" s="1779"/>
      <c r="C17" s="1780"/>
      <c r="D17" s="1920">
        <f t="shared" ref="D17:H17" si="0">+E17-1</f>
        <v>2009</v>
      </c>
      <c r="E17" s="1920">
        <f t="shared" si="0"/>
        <v>2010</v>
      </c>
      <c r="F17" s="1920">
        <f t="shared" si="0"/>
        <v>2011</v>
      </c>
      <c r="G17" s="1920">
        <f t="shared" si="0"/>
        <v>2012</v>
      </c>
      <c r="H17" s="1920">
        <f t="shared" si="0"/>
        <v>2013</v>
      </c>
      <c r="I17" s="1920">
        <f>+J17-1</f>
        <v>2014</v>
      </c>
      <c r="J17" s="1919">
        <f>+D9</f>
        <v>2015</v>
      </c>
      <c r="K17" s="1175"/>
    </row>
    <row r="18" spans="1:13" s="122" customFormat="1" ht="18.600000000000001" customHeight="1" x14ac:dyDescent="0.25">
      <c r="B18" s="1781" t="s">
        <v>1400</v>
      </c>
      <c r="C18" s="1921"/>
      <c r="D18" s="1922">
        <f t="shared" ref="D18:H18" si="1">+E18*0.9</f>
        <v>6749.3007000000007</v>
      </c>
      <c r="E18" s="1922">
        <f t="shared" si="1"/>
        <v>7499.2230000000009</v>
      </c>
      <c r="F18" s="1922">
        <f t="shared" si="1"/>
        <v>8332.4700000000012</v>
      </c>
      <c r="G18" s="1922">
        <f t="shared" si="1"/>
        <v>9258.3000000000011</v>
      </c>
      <c r="H18" s="1922">
        <f t="shared" si="1"/>
        <v>10287</v>
      </c>
      <c r="I18" s="1922">
        <f>+J18*0.9</f>
        <v>11430</v>
      </c>
      <c r="J18" s="1923">
        <f>12700000000/1000000</f>
        <v>12700</v>
      </c>
      <c r="K18" s="1175"/>
    </row>
    <row r="19" spans="1:13" s="122" customFormat="1" ht="18.600000000000001" customHeight="1" x14ac:dyDescent="0.25">
      <c r="B19" s="1781" t="s">
        <v>989</v>
      </c>
      <c r="C19" s="1760"/>
      <c r="D19" s="1918"/>
      <c r="E19" s="1918"/>
      <c r="F19" s="1918"/>
      <c r="G19" s="1918"/>
      <c r="H19" s="1918"/>
      <c r="I19" s="1918"/>
      <c r="J19" s="1924"/>
      <c r="K19" s="1750" t="s">
        <v>1805</v>
      </c>
      <c r="M19" s="1228"/>
    </row>
    <row r="20" spans="1:13" s="122" customFormat="1" ht="18.600000000000001" customHeight="1" x14ac:dyDescent="0.25">
      <c r="B20" s="1782" t="s">
        <v>1322</v>
      </c>
      <c r="C20" s="1783"/>
      <c r="D20" s="1925"/>
      <c r="E20" s="1925"/>
      <c r="F20" s="1925"/>
      <c r="G20" s="1925"/>
      <c r="H20" s="1925"/>
      <c r="I20" s="1925"/>
      <c r="J20" s="1926"/>
      <c r="K20" s="1750" t="s">
        <v>1805</v>
      </c>
      <c r="M20" s="1228"/>
    </row>
    <row r="21" spans="1:13" s="122" customFormat="1" ht="18.600000000000001" customHeight="1" x14ac:dyDescent="0.25">
      <c r="B21" s="1785" t="s">
        <v>1095</v>
      </c>
      <c r="C21" s="1928"/>
      <c r="D21" s="1929" t="s">
        <v>1096</v>
      </c>
      <c r="E21" s="1750"/>
      <c r="F21" s="694"/>
      <c r="G21" s="1200"/>
      <c r="H21" s="1750"/>
      <c r="I21" s="1750"/>
      <c r="J21" s="1750"/>
      <c r="K21" s="1175"/>
    </row>
    <row r="22" spans="1:13" s="122" customFormat="1" ht="18.600000000000001" customHeight="1" x14ac:dyDescent="0.25">
      <c r="B22" s="1779" t="s">
        <v>1319</v>
      </c>
      <c r="C22" s="1780"/>
      <c r="D22" s="1786" t="s">
        <v>526</v>
      </c>
      <c r="E22" s="1761" t="s">
        <v>1321</v>
      </c>
      <c r="F22" s="1176"/>
      <c r="G22" s="1177"/>
      <c r="H22" s="1175"/>
      <c r="I22" s="1175"/>
      <c r="J22" s="1175"/>
      <c r="K22" s="1175"/>
    </row>
    <row r="23" spans="1:13" s="122" customFormat="1" ht="18.600000000000001" customHeight="1" x14ac:dyDescent="0.25">
      <c r="B23" s="1787"/>
      <c r="C23" s="1788"/>
      <c r="D23" s="1784" t="s">
        <v>1320</v>
      </c>
      <c r="E23" s="1175"/>
      <c r="F23" s="1176"/>
      <c r="G23" s="1177"/>
      <c r="H23" s="1175"/>
      <c r="I23" s="1175"/>
      <c r="J23" s="1175"/>
      <c r="K23" s="1175"/>
    </row>
    <row r="24" spans="1:13" s="122" customFormat="1" ht="18.600000000000001" customHeight="1" x14ac:dyDescent="0.25">
      <c r="A24" s="1175"/>
      <c r="B24" s="1175"/>
      <c r="C24" s="1175"/>
      <c r="D24" s="1175"/>
      <c r="E24" s="1175"/>
      <c r="F24" s="1175"/>
      <c r="G24" s="1175"/>
      <c r="H24" s="1175"/>
      <c r="I24" s="1175"/>
      <c r="J24" s="1175"/>
      <c r="K24" s="1175"/>
    </row>
    <row r="25" spans="1:13" s="122" customFormat="1" ht="18.600000000000001" customHeight="1" x14ac:dyDescent="0.25">
      <c r="A25" s="1175"/>
      <c r="B25" s="1175"/>
      <c r="C25" s="1175"/>
      <c r="D25" s="1175"/>
      <c r="E25" s="1175"/>
      <c r="F25" s="1175"/>
      <c r="G25" s="1175"/>
      <c r="H25" s="1175"/>
      <c r="I25" s="1175"/>
      <c r="J25" s="1175"/>
      <c r="K25" s="1175"/>
    </row>
    <row r="26" spans="1:13" s="122" customFormat="1" ht="18.600000000000001" customHeight="1" x14ac:dyDescent="0.25">
      <c r="A26" s="1175"/>
      <c r="B26" s="1175"/>
      <c r="C26" s="1175"/>
      <c r="D26" s="1175"/>
      <c r="E26" s="1175"/>
      <c r="F26" s="1175"/>
      <c r="G26" s="1175"/>
      <c r="H26" s="1175"/>
      <c r="I26" s="1175"/>
      <c r="J26" s="1175"/>
      <c r="K26" s="1175"/>
    </row>
    <row r="27" spans="1:13" s="122" customFormat="1" ht="18.600000000000001" customHeight="1" x14ac:dyDescent="0.25">
      <c r="A27" s="1175"/>
      <c r="B27" s="1175"/>
      <c r="C27" s="1175"/>
      <c r="D27" s="1175"/>
      <c r="E27" s="1175"/>
      <c r="F27" s="1175"/>
      <c r="G27" s="1175"/>
      <c r="H27" s="1175"/>
      <c r="I27" s="1175"/>
      <c r="J27" s="1175"/>
      <c r="K27" s="1175"/>
    </row>
    <row r="28" spans="1:13" s="122" customFormat="1" ht="18.600000000000001" customHeight="1" x14ac:dyDescent="0.25">
      <c r="A28" s="1175"/>
      <c r="B28" s="1175"/>
      <c r="C28" s="1175"/>
      <c r="D28" s="1175"/>
      <c r="E28" s="1175"/>
      <c r="F28" s="1175"/>
      <c r="G28" s="1175"/>
      <c r="H28" s="1175"/>
      <c r="I28" s="1175"/>
      <c r="J28" s="1175"/>
      <c r="K28" s="1175"/>
    </row>
    <row r="29" spans="1:13" s="122" customFormat="1" ht="18.600000000000001" customHeight="1" x14ac:dyDescent="0.25">
      <c r="A29" s="1175"/>
      <c r="B29" s="1175"/>
      <c r="C29" s="1175"/>
      <c r="D29" s="1175"/>
      <c r="E29" s="1175"/>
      <c r="F29" s="1175"/>
      <c r="G29" s="1175"/>
      <c r="H29" s="1175"/>
      <c r="I29" s="1175"/>
      <c r="J29" s="1175"/>
      <c r="K29" s="1175"/>
    </row>
    <row r="30" spans="1:13" s="122" customFormat="1" ht="18.600000000000001" customHeight="1" x14ac:dyDescent="0.25">
      <c r="A30" s="1175"/>
      <c r="B30" s="1175"/>
      <c r="C30" s="1175"/>
      <c r="D30" s="1175"/>
      <c r="E30" s="1175"/>
      <c r="F30" s="1175"/>
      <c r="G30" s="1175"/>
      <c r="H30" s="1175"/>
      <c r="I30" s="1175"/>
      <c r="J30" s="1175"/>
      <c r="K30" s="1175"/>
    </row>
    <row r="31" spans="1:13" s="122" customFormat="1" ht="18.600000000000001" customHeight="1" x14ac:dyDescent="0.25">
      <c r="A31" s="1175"/>
      <c r="B31" s="1175"/>
      <c r="C31" s="1175"/>
      <c r="D31" s="1175"/>
      <c r="E31" s="1175"/>
      <c r="F31" s="1175"/>
      <c r="G31" s="1175"/>
      <c r="H31" s="1175"/>
      <c r="I31" s="1175"/>
      <c r="J31" s="1175"/>
      <c r="K31" s="1175"/>
    </row>
    <row r="32" spans="1:13" s="122" customFormat="1" ht="18.600000000000001" customHeight="1" x14ac:dyDescent="0.25">
      <c r="A32" s="1175"/>
      <c r="B32" s="1175"/>
      <c r="C32" s="1175"/>
      <c r="D32" s="1175"/>
      <c r="E32" s="1175"/>
      <c r="F32" s="1175"/>
      <c r="G32" s="1175"/>
      <c r="H32" s="1175"/>
      <c r="I32" s="1175"/>
      <c r="J32" s="1175"/>
      <c r="K32" s="1175"/>
    </row>
    <row r="33" spans="1:11" s="122" customFormat="1" ht="18.600000000000001" customHeight="1" x14ac:dyDescent="0.25">
      <c r="A33" s="1175"/>
      <c r="B33" s="1175"/>
      <c r="C33" s="1175"/>
      <c r="D33" s="1175"/>
      <c r="E33" s="1175"/>
      <c r="F33" s="1175"/>
      <c r="G33" s="1175"/>
      <c r="H33" s="1175"/>
      <c r="I33" s="1175"/>
      <c r="J33" s="1175"/>
      <c r="K33" s="1175"/>
    </row>
    <row r="34" spans="1:11" s="122" customFormat="1" ht="18.600000000000001" customHeight="1" x14ac:dyDescent="0.25">
      <c r="A34" s="1175"/>
      <c r="B34" s="1175"/>
      <c r="C34" s="1175"/>
      <c r="D34" s="1175"/>
      <c r="E34" s="1175"/>
      <c r="F34" s="1175"/>
      <c r="G34" s="1175"/>
      <c r="H34" s="1175"/>
      <c r="I34" s="1175"/>
      <c r="J34" s="1175"/>
      <c r="K34" s="1175"/>
    </row>
    <row r="35" spans="1:11" s="122" customFormat="1" ht="18.600000000000001" customHeight="1" x14ac:dyDescent="0.25">
      <c r="A35" s="1175"/>
      <c r="B35" s="1175"/>
      <c r="C35" s="1175"/>
      <c r="D35" s="1175"/>
      <c r="E35" s="1175"/>
      <c r="F35" s="1175"/>
      <c r="G35" s="1175"/>
      <c r="H35" s="1175"/>
      <c r="I35" s="1175"/>
      <c r="J35" s="1175"/>
      <c r="K35" s="1175"/>
    </row>
    <row r="36" spans="1:11" s="122" customFormat="1" ht="18.600000000000001" customHeight="1" x14ac:dyDescent="0.25">
      <c r="A36" s="1175"/>
      <c r="B36" s="1175"/>
      <c r="C36" s="1175"/>
      <c r="D36" s="1175"/>
      <c r="E36" s="1175"/>
      <c r="F36" s="1175"/>
      <c r="G36" s="1175"/>
      <c r="H36" s="1175"/>
      <c r="I36" s="1175"/>
      <c r="J36" s="1175"/>
      <c r="K36" s="1175"/>
    </row>
    <row r="37" spans="1:11" s="122" customFormat="1" ht="18.600000000000001" customHeight="1" x14ac:dyDescent="0.25">
      <c r="A37" s="1175"/>
      <c r="B37" s="1175"/>
      <c r="C37" s="1175"/>
      <c r="D37" s="1175"/>
      <c r="E37" s="1175"/>
      <c r="F37" s="1175"/>
      <c r="G37" s="1175"/>
      <c r="H37" s="1175"/>
      <c r="I37" s="1175"/>
      <c r="J37" s="1175"/>
      <c r="K37" s="1175"/>
    </row>
    <row r="38" spans="1:11" s="122" customFormat="1" ht="18.600000000000001" customHeight="1" x14ac:dyDescent="0.25">
      <c r="A38" s="1175"/>
      <c r="B38" s="1175"/>
      <c r="C38" s="1175"/>
      <c r="D38" s="1175"/>
      <c r="E38" s="1175"/>
      <c r="F38" s="1175"/>
      <c r="G38" s="1175"/>
      <c r="H38" s="1175"/>
      <c r="I38" s="1175"/>
      <c r="J38" s="1175"/>
      <c r="K38" s="1175"/>
    </row>
    <row r="39" spans="1:11" s="122" customFormat="1" ht="18.600000000000001" customHeight="1" x14ac:dyDescent="0.25">
      <c r="A39" s="1175"/>
      <c r="B39" s="1175"/>
      <c r="C39" s="1175"/>
      <c r="D39" s="1175"/>
      <c r="E39" s="1175"/>
      <c r="F39" s="1175"/>
      <c r="G39" s="1175"/>
      <c r="H39" s="1175"/>
      <c r="I39" s="1175"/>
      <c r="J39" s="1175"/>
      <c r="K39" s="1175"/>
    </row>
    <row r="40" spans="1:11" s="122" customFormat="1" ht="18.600000000000001" customHeight="1" x14ac:dyDescent="0.25">
      <c r="A40" s="1175"/>
      <c r="B40" s="1175"/>
      <c r="C40" s="1175"/>
      <c r="D40" s="1175"/>
      <c r="E40" s="1175"/>
      <c r="F40" s="1175"/>
      <c r="G40" s="1175"/>
      <c r="H40" s="1175"/>
      <c r="I40" s="1175"/>
      <c r="J40" s="1175"/>
      <c r="K40" s="1175"/>
    </row>
    <row r="41" spans="1:11" s="122" customFormat="1" ht="18.600000000000001" customHeight="1" x14ac:dyDescent="0.25">
      <c r="A41" s="1175"/>
      <c r="B41" s="1175"/>
      <c r="C41" s="1175"/>
      <c r="D41" s="1175"/>
      <c r="E41" s="1175"/>
      <c r="F41" s="1175"/>
      <c r="G41" s="1175"/>
      <c r="H41" s="1175"/>
      <c r="I41" s="1175"/>
      <c r="J41" s="1175"/>
      <c r="K41" s="1175"/>
    </row>
    <row r="42" spans="1:11" s="122" customFormat="1" ht="18.600000000000001" customHeight="1" x14ac:dyDescent="0.25">
      <c r="A42" s="1175"/>
      <c r="B42" s="1175"/>
      <c r="C42" s="1175"/>
      <c r="D42" s="1175"/>
      <c r="E42" s="1175"/>
      <c r="F42" s="1175"/>
      <c r="G42" s="1175"/>
      <c r="H42" s="1175"/>
      <c r="I42" s="1175"/>
      <c r="J42" s="1175"/>
      <c r="K42" s="1175"/>
    </row>
    <row r="43" spans="1:11" s="122" customFormat="1" ht="18.600000000000001" customHeight="1" x14ac:dyDescent="0.25">
      <c r="A43" s="1175"/>
      <c r="B43" s="1175"/>
      <c r="C43" s="1175"/>
      <c r="D43" s="1175"/>
      <c r="E43" s="1175"/>
      <c r="F43" s="1175"/>
      <c r="G43" s="1175"/>
      <c r="H43" s="1175"/>
      <c r="I43" s="1175"/>
      <c r="J43" s="1175"/>
      <c r="K43" s="1175"/>
    </row>
    <row r="44" spans="1:11" s="122" customFormat="1" ht="18.600000000000001" customHeight="1" x14ac:dyDescent="0.25">
      <c r="A44" s="1175"/>
      <c r="B44" s="1175"/>
      <c r="C44" s="1175"/>
      <c r="D44" s="1175"/>
      <c r="E44" s="1175"/>
      <c r="F44" s="1175"/>
      <c r="G44" s="1175"/>
      <c r="H44" s="1175"/>
      <c r="I44" s="1175"/>
      <c r="J44" s="1175"/>
      <c r="K44" s="1175"/>
    </row>
    <row r="45" spans="1:11" s="122" customFormat="1" ht="18.600000000000001" customHeight="1" x14ac:dyDescent="0.25">
      <c r="A45" s="1175"/>
      <c r="B45" s="1175"/>
      <c r="C45" s="1175"/>
      <c r="D45" s="1175"/>
      <c r="E45" s="1175"/>
      <c r="F45" s="1175"/>
      <c r="G45" s="1175"/>
      <c r="H45" s="1175"/>
      <c r="I45" s="1175"/>
      <c r="J45" s="1175"/>
      <c r="K45" s="1175"/>
    </row>
    <row r="46" spans="1:11" x14ac:dyDescent="0.25">
      <c r="B46" s="791" t="s">
        <v>782</v>
      </c>
      <c r="C46" s="794" t="s">
        <v>783</v>
      </c>
      <c r="D46" s="792"/>
      <c r="E46" s="792"/>
      <c r="F46" s="792"/>
      <c r="G46" s="793"/>
      <c r="H46" s="792"/>
      <c r="I46" s="792"/>
      <c r="J46" s="792"/>
      <c r="K46" s="792"/>
    </row>
    <row r="47" spans="1:11" s="7" customFormat="1" x14ac:dyDescent="0.25">
      <c r="B47" s="791" t="s">
        <v>795</v>
      </c>
      <c r="C47" s="794" t="s">
        <v>279</v>
      </c>
      <c r="D47" s="105" t="s">
        <v>266</v>
      </c>
      <c r="E47" s="794"/>
      <c r="F47" s="794"/>
      <c r="G47" s="795"/>
      <c r="H47" s="794"/>
      <c r="I47" s="794"/>
      <c r="J47" s="794"/>
      <c r="K47" s="794"/>
    </row>
    <row r="48" spans="1:11" s="7" customFormat="1" x14ac:dyDescent="0.25">
      <c r="B48" s="791" t="s">
        <v>796</v>
      </c>
      <c r="C48" s="794" t="s">
        <v>280</v>
      </c>
      <c r="D48" s="105" t="s">
        <v>271</v>
      </c>
      <c r="E48" s="794"/>
      <c r="F48" s="794"/>
      <c r="G48" s="795"/>
      <c r="H48" s="794"/>
      <c r="I48" s="794"/>
      <c r="J48" s="794"/>
      <c r="K48" s="794"/>
    </row>
    <row r="49" spans="2:11" s="7" customFormat="1" x14ac:dyDescent="0.25">
      <c r="B49" s="791" t="s">
        <v>797</v>
      </c>
      <c r="C49" s="794" t="s">
        <v>332</v>
      </c>
      <c r="D49" s="105" t="s">
        <v>331</v>
      </c>
      <c r="E49" s="794"/>
      <c r="F49" s="794"/>
      <c r="G49" s="795"/>
      <c r="H49" s="794"/>
      <c r="I49" s="794"/>
      <c r="J49" s="794"/>
      <c r="K49" s="794"/>
    </row>
    <row r="50" spans="2:11" s="7" customFormat="1" x14ac:dyDescent="0.25">
      <c r="B50" s="791" t="s">
        <v>798</v>
      </c>
      <c r="C50" s="794" t="s">
        <v>333</v>
      </c>
      <c r="D50" s="105" t="s">
        <v>334</v>
      </c>
      <c r="E50" s="794"/>
      <c r="F50" s="794"/>
      <c r="G50" s="795"/>
      <c r="H50" s="794"/>
      <c r="I50" s="794"/>
      <c r="J50" s="794"/>
      <c r="K50" s="794"/>
    </row>
    <row r="51" spans="2:11" s="7" customFormat="1" x14ac:dyDescent="0.25">
      <c r="B51" s="791" t="s">
        <v>799</v>
      </c>
      <c r="C51" s="794" t="s">
        <v>371</v>
      </c>
      <c r="D51" s="105" t="s">
        <v>370</v>
      </c>
      <c r="E51" s="794"/>
      <c r="F51" s="794"/>
      <c r="G51" s="795"/>
      <c r="H51" s="794"/>
      <c r="I51" s="794"/>
      <c r="J51" s="794"/>
      <c r="K51" s="794"/>
    </row>
    <row r="52" spans="2:11" s="7" customFormat="1" x14ac:dyDescent="0.25">
      <c r="B52" s="791" t="s">
        <v>800</v>
      </c>
      <c r="C52" s="794" t="s">
        <v>399</v>
      </c>
      <c r="D52" s="105" t="s">
        <v>400</v>
      </c>
      <c r="E52" s="794"/>
      <c r="F52" s="794"/>
      <c r="G52" s="795"/>
      <c r="H52" s="794"/>
      <c r="I52" s="794"/>
      <c r="J52" s="794"/>
      <c r="K52" s="794"/>
    </row>
    <row r="53" spans="2:11" s="7" customFormat="1" x14ac:dyDescent="0.25">
      <c r="B53" s="791" t="s">
        <v>801</v>
      </c>
      <c r="C53" s="794" t="s">
        <v>401</v>
      </c>
      <c r="D53" s="105" t="s">
        <v>402</v>
      </c>
      <c r="E53" s="794"/>
      <c r="F53" s="794"/>
      <c r="G53" s="795"/>
      <c r="H53" s="794"/>
      <c r="I53" s="794"/>
      <c r="J53" s="794"/>
      <c r="K53" s="794"/>
    </row>
    <row r="54" spans="2:11" s="7" customFormat="1" x14ac:dyDescent="0.25">
      <c r="B54" s="791" t="s">
        <v>802</v>
      </c>
      <c r="C54" s="794" t="s">
        <v>403</v>
      </c>
      <c r="D54" s="105" t="s">
        <v>402</v>
      </c>
      <c r="E54" s="794"/>
      <c r="F54" s="794"/>
      <c r="G54" s="795"/>
      <c r="H54" s="794"/>
      <c r="I54" s="794"/>
      <c r="J54" s="794"/>
      <c r="K54" s="794"/>
    </row>
    <row r="55" spans="2:11" s="7" customFormat="1" x14ac:dyDescent="0.25">
      <c r="B55" s="791" t="s">
        <v>803</v>
      </c>
      <c r="C55" s="794" t="s">
        <v>418</v>
      </c>
      <c r="D55" s="105" t="s">
        <v>419</v>
      </c>
      <c r="E55" s="794"/>
      <c r="F55" s="794"/>
      <c r="G55" s="795"/>
      <c r="H55" s="794"/>
      <c r="I55" s="794"/>
      <c r="J55" s="794"/>
      <c r="K55" s="794"/>
    </row>
    <row r="56" spans="2:11" s="7" customFormat="1" x14ac:dyDescent="0.25">
      <c r="B56" s="791" t="s">
        <v>804</v>
      </c>
      <c r="C56" s="794" t="s">
        <v>430</v>
      </c>
      <c r="D56" s="105" t="s">
        <v>429</v>
      </c>
      <c r="E56" s="794"/>
      <c r="F56" s="794"/>
      <c r="G56" s="795"/>
      <c r="H56" s="794"/>
      <c r="I56" s="794"/>
      <c r="J56" s="794"/>
      <c r="K56" s="794"/>
    </row>
    <row r="57" spans="2:11" s="7" customFormat="1" x14ac:dyDescent="0.25">
      <c r="B57" s="791" t="s">
        <v>805</v>
      </c>
      <c r="C57" s="794" t="s">
        <v>508</v>
      </c>
      <c r="D57" s="105" t="s">
        <v>508</v>
      </c>
      <c r="E57" s="794"/>
      <c r="F57" s="794"/>
      <c r="G57" s="795"/>
      <c r="H57" s="794"/>
      <c r="I57" s="794"/>
      <c r="J57" s="794"/>
      <c r="K57" s="794"/>
    </row>
    <row r="58" spans="2:11" s="7" customFormat="1" x14ac:dyDescent="0.25">
      <c r="B58" s="791" t="s">
        <v>806</v>
      </c>
      <c r="C58" s="794" t="s">
        <v>509</v>
      </c>
      <c r="D58" s="105" t="s">
        <v>283</v>
      </c>
      <c r="E58" s="794"/>
      <c r="F58" s="794"/>
      <c r="G58" s="795"/>
      <c r="H58" s="794"/>
      <c r="I58" s="794"/>
      <c r="J58" s="794"/>
      <c r="K58" s="794"/>
    </row>
    <row r="59" spans="2:11" s="7" customFormat="1" x14ac:dyDescent="0.25">
      <c r="B59" s="791" t="s">
        <v>807</v>
      </c>
      <c r="C59" s="794" t="s">
        <v>510</v>
      </c>
      <c r="D59" s="105" t="s">
        <v>458</v>
      </c>
      <c r="E59" s="794"/>
      <c r="F59" s="794"/>
      <c r="G59" s="795"/>
      <c r="H59" s="794"/>
      <c r="I59" s="794"/>
      <c r="J59" s="794"/>
      <c r="K59" s="794"/>
    </row>
    <row r="60" spans="2:11" s="7" customFormat="1" x14ac:dyDescent="0.25">
      <c r="B60" s="791" t="s">
        <v>808</v>
      </c>
      <c r="C60" s="794" t="s">
        <v>511</v>
      </c>
      <c r="D60" s="105" t="s">
        <v>512</v>
      </c>
      <c r="E60" s="794"/>
      <c r="F60" s="794"/>
      <c r="G60" s="795"/>
      <c r="H60" s="794"/>
      <c r="I60" s="794"/>
      <c r="J60" s="794"/>
      <c r="K60" s="794"/>
    </row>
    <row r="61" spans="2:11" s="7" customFormat="1" x14ac:dyDescent="0.25">
      <c r="B61" s="791" t="s">
        <v>809</v>
      </c>
      <c r="C61" s="794" t="s">
        <v>513</v>
      </c>
      <c r="D61" s="105" t="s">
        <v>514</v>
      </c>
      <c r="E61" s="794"/>
      <c r="F61" s="794"/>
      <c r="G61" s="795"/>
      <c r="H61" s="794"/>
      <c r="I61" s="794"/>
      <c r="J61" s="794"/>
      <c r="K61" s="794"/>
    </row>
    <row r="62" spans="2:11" s="7" customFormat="1" x14ac:dyDescent="0.25">
      <c r="B62" s="791" t="s">
        <v>810</v>
      </c>
      <c r="C62" s="794" t="s">
        <v>515</v>
      </c>
      <c r="D62" s="105" t="s">
        <v>516</v>
      </c>
      <c r="E62" s="794"/>
      <c r="F62" s="794"/>
      <c r="G62" s="795"/>
      <c r="H62" s="794"/>
      <c r="I62" s="794"/>
      <c r="J62" s="794"/>
      <c r="K62" s="794"/>
    </row>
    <row r="63" spans="2:11" x14ac:dyDescent="0.25">
      <c r="B63" s="791"/>
      <c r="C63" s="794"/>
      <c r="D63" s="792"/>
      <c r="E63" s="792"/>
      <c r="F63" s="792"/>
      <c r="G63" s="793"/>
      <c r="H63" s="792"/>
      <c r="I63" s="792"/>
      <c r="J63" s="792"/>
      <c r="K63" s="79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4"/>
  <dimension ref="B2:O241"/>
  <sheetViews>
    <sheetView zoomScaleNormal="100" workbookViewId="0">
      <pane xSplit="2" ySplit="4" topLeftCell="C98" activePane="bottomRight" state="frozen"/>
      <selection activeCell="D25" sqref="D25"/>
      <selection pane="topRight" activeCell="D25" sqref="D25"/>
      <selection pane="bottomLeft" activeCell="D25" sqref="D25"/>
      <selection pane="bottomRight" activeCell="A221" sqref="A221"/>
    </sheetView>
  </sheetViews>
  <sheetFormatPr defaultColWidth="9.140625" defaultRowHeight="12.75" outlineLevelRow="1" x14ac:dyDescent="0.25"/>
  <cols>
    <col min="1" max="1" width="5.42578125" style="141" customWidth="1"/>
    <col min="2" max="2" width="45.140625" style="141" customWidth="1"/>
    <col min="3" max="3" width="14.28515625" style="774" customWidth="1"/>
    <col min="4" max="6" width="14" style="774" bestFit="1" customWidth="1"/>
    <col min="7" max="10" width="14.5703125" style="774" bestFit="1" customWidth="1"/>
    <col min="11" max="11" width="50" style="141" bestFit="1" customWidth="1"/>
    <col min="12" max="12" width="12.42578125" style="141" bestFit="1" customWidth="1"/>
    <col min="13" max="16384" width="9.140625" style="141"/>
  </cols>
  <sheetData>
    <row r="2" spans="2:11" s="1" customFormat="1" ht="13.5" x14ac:dyDescent="0.25">
      <c r="B2" s="1765"/>
      <c r="C2" s="1766" t="s">
        <v>0</v>
      </c>
      <c r="D2" s="1766" t="s">
        <v>0</v>
      </c>
      <c r="E2" s="1766" t="s">
        <v>0</v>
      </c>
      <c r="F2" s="1766" t="s">
        <v>0</v>
      </c>
      <c r="G2" s="1766" t="s">
        <v>0</v>
      </c>
      <c r="H2" s="1766" t="s">
        <v>0</v>
      </c>
      <c r="I2" s="1766" t="s">
        <v>0</v>
      </c>
      <c r="J2" s="1766" t="s">
        <v>0</v>
      </c>
    </row>
    <row r="3" spans="2:11" s="1" customFormat="1" ht="13.5" x14ac:dyDescent="0.25">
      <c r="B3" s="1767"/>
      <c r="C3" s="1768" t="s">
        <v>528</v>
      </c>
      <c r="D3" s="1768" t="s">
        <v>529</v>
      </c>
      <c r="E3" s="1768" t="s">
        <v>530</v>
      </c>
      <c r="F3" s="1768" t="s">
        <v>531</v>
      </c>
      <c r="G3" s="1768" t="s">
        <v>532</v>
      </c>
      <c r="H3" s="1768" t="s">
        <v>533</v>
      </c>
      <c r="I3" s="1768" t="s">
        <v>534</v>
      </c>
      <c r="J3" s="1768" t="s">
        <v>535</v>
      </c>
    </row>
    <row r="4" spans="2:11" s="1" customFormat="1" ht="14.25" thickBot="1" x14ac:dyDescent="0.3">
      <c r="B4" s="1769"/>
      <c r="C4" s="1770" t="s">
        <v>525</v>
      </c>
      <c r="D4" s="1770" t="s">
        <v>525</v>
      </c>
      <c r="E4" s="1770" t="s">
        <v>525</v>
      </c>
      <c r="F4" s="1770" t="s">
        <v>525</v>
      </c>
      <c r="G4" s="1770" t="s">
        <v>525</v>
      </c>
      <c r="H4" s="1770" t="s">
        <v>525</v>
      </c>
      <c r="I4" s="1770" t="s">
        <v>525</v>
      </c>
      <c r="J4" s="1770" t="s">
        <v>525</v>
      </c>
    </row>
    <row r="5" spans="2:11" ht="13.5" x14ac:dyDescent="0.25">
      <c r="B5" s="1771" t="s">
        <v>39</v>
      </c>
      <c r="C5" s="773">
        <v>4493655000</v>
      </c>
      <c r="D5" s="773">
        <v>4157955000</v>
      </c>
      <c r="E5" s="773">
        <v>4748439000</v>
      </c>
      <c r="F5" s="773">
        <v>6033849000</v>
      </c>
      <c r="G5" s="773">
        <v>6736678000</v>
      </c>
      <c r="H5" s="773">
        <v>7659118000</v>
      </c>
      <c r="I5" s="773">
        <v>8471757000</v>
      </c>
      <c r="J5" s="773">
        <v>9406252000</v>
      </c>
      <c r="K5" s="141" t="s">
        <v>1582</v>
      </c>
    </row>
    <row r="6" spans="2:11" ht="13.5" x14ac:dyDescent="0.25">
      <c r="B6" s="1772" t="s">
        <v>92</v>
      </c>
      <c r="C6" s="774">
        <v>415586000</v>
      </c>
      <c r="D6" s="774">
        <v>904734000</v>
      </c>
      <c r="E6" s="774">
        <v>1317166000</v>
      </c>
      <c r="F6" s="774">
        <v>1173889000</v>
      </c>
      <c r="G6" s="774">
        <v>1740789000</v>
      </c>
      <c r="H6" s="774">
        <v>1266575000</v>
      </c>
      <c r="I6" s="774">
        <v>1621221000</v>
      </c>
      <c r="J6" s="774">
        <v>2167627000</v>
      </c>
      <c r="K6" s="141" t="s">
        <v>1583</v>
      </c>
    </row>
    <row r="7" spans="2:11" ht="13.5" x14ac:dyDescent="0.25">
      <c r="B7" s="1772" t="s">
        <v>40</v>
      </c>
      <c r="C7" s="774">
        <v>26039000</v>
      </c>
      <c r="D7" s="774">
        <v>4444000</v>
      </c>
      <c r="E7" s="774">
        <v>1185000</v>
      </c>
      <c r="F7" s="774">
        <v>2932000</v>
      </c>
      <c r="G7" s="774">
        <v>0</v>
      </c>
      <c r="H7" s="774">
        <v>0</v>
      </c>
      <c r="I7" s="774">
        <v>0</v>
      </c>
      <c r="J7" s="774">
        <v>0</v>
      </c>
      <c r="K7" s="141" t="s">
        <v>1584</v>
      </c>
    </row>
    <row r="8" spans="2:11" ht="13.5" x14ac:dyDescent="0.25">
      <c r="B8" s="1772" t="s">
        <v>41</v>
      </c>
      <c r="C8" s="774">
        <v>0</v>
      </c>
      <c r="D8" s="774">
        <v>0</v>
      </c>
      <c r="E8" s="774">
        <v>0</v>
      </c>
      <c r="F8" s="774">
        <v>0</v>
      </c>
      <c r="G8" s="774">
        <v>0</v>
      </c>
      <c r="H8" s="774">
        <v>0</v>
      </c>
      <c r="I8" s="774">
        <v>0</v>
      </c>
      <c r="J8" s="774">
        <v>0</v>
      </c>
      <c r="K8" s="141" t="s">
        <v>1585</v>
      </c>
    </row>
    <row r="9" spans="2:11" ht="13.5" x14ac:dyDescent="0.25">
      <c r="B9" s="1772" t="s">
        <v>42</v>
      </c>
      <c r="C9" s="774">
        <v>0</v>
      </c>
      <c r="D9" s="774">
        <v>0</v>
      </c>
      <c r="E9" s="774">
        <v>0</v>
      </c>
      <c r="F9" s="774">
        <v>0</v>
      </c>
      <c r="G9" s="774">
        <v>0</v>
      </c>
      <c r="H9" s="774">
        <v>0</v>
      </c>
      <c r="I9" s="774">
        <v>0</v>
      </c>
      <c r="J9" s="774">
        <v>0</v>
      </c>
      <c r="K9" s="141" t="s">
        <v>1586</v>
      </c>
    </row>
    <row r="10" spans="2:11" ht="13.5" x14ac:dyDescent="0.25">
      <c r="B10" s="1772" t="s">
        <v>2</v>
      </c>
      <c r="C10" s="774">
        <v>0</v>
      </c>
      <c r="D10" s="774">
        <v>0</v>
      </c>
      <c r="E10" s="774">
        <v>0</v>
      </c>
      <c r="F10" s="774">
        <v>0</v>
      </c>
      <c r="G10" s="774">
        <v>0</v>
      </c>
      <c r="H10" s="774">
        <v>0</v>
      </c>
      <c r="I10" s="774">
        <v>0</v>
      </c>
      <c r="J10" s="774">
        <v>0</v>
      </c>
      <c r="K10" s="141" t="s">
        <v>1587</v>
      </c>
    </row>
    <row r="11" spans="2:11" ht="13.5" x14ac:dyDescent="0.25">
      <c r="B11" s="1772" t="s">
        <v>43</v>
      </c>
      <c r="C11" s="774">
        <v>0</v>
      </c>
      <c r="D11" s="774">
        <v>0</v>
      </c>
      <c r="E11" s="774">
        <v>0</v>
      </c>
      <c r="F11" s="774">
        <v>0</v>
      </c>
      <c r="G11" s="774">
        <v>0</v>
      </c>
      <c r="H11" s="774">
        <v>0</v>
      </c>
      <c r="I11" s="774">
        <v>0</v>
      </c>
      <c r="J11" s="774">
        <v>0</v>
      </c>
      <c r="K11" s="141" t="s">
        <v>1588</v>
      </c>
    </row>
    <row r="12" spans="2:11" ht="13.5" x14ac:dyDescent="0.25">
      <c r="B12" s="1772" t="s">
        <v>44</v>
      </c>
      <c r="C12" s="774">
        <v>2644927000</v>
      </c>
      <c r="D12" s="774">
        <v>2233011000</v>
      </c>
      <c r="E12" s="774">
        <v>2324578000</v>
      </c>
      <c r="F12" s="774">
        <v>3180870000</v>
      </c>
      <c r="G12" s="774">
        <v>3261477000</v>
      </c>
      <c r="H12" s="774">
        <v>4182140000</v>
      </c>
      <c r="I12" s="774">
        <v>4433898000</v>
      </c>
      <c r="J12" s="774">
        <v>4790525000</v>
      </c>
      <c r="K12" s="141" t="s">
        <v>1589</v>
      </c>
    </row>
    <row r="13" spans="2:11" ht="13.5" x14ac:dyDescent="0.25">
      <c r="B13" s="1772" t="s">
        <v>45</v>
      </c>
      <c r="C13" s="774">
        <v>0</v>
      </c>
      <c r="D13" s="774">
        <v>0</v>
      </c>
      <c r="E13" s="774">
        <v>0</v>
      </c>
      <c r="F13" s="774">
        <v>0</v>
      </c>
      <c r="G13" s="774">
        <v>0</v>
      </c>
      <c r="H13" s="774">
        <v>0</v>
      </c>
      <c r="I13" s="774">
        <v>0</v>
      </c>
      <c r="J13" s="774">
        <v>0</v>
      </c>
      <c r="K13" s="141" t="s">
        <v>1590</v>
      </c>
    </row>
    <row r="14" spans="2:11" ht="13.5" x14ac:dyDescent="0.25">
      <c r="B14" s="1772" t="s">
        <v>3</v>
      </c>
      <c r="C14" s="774">
        <v>0</v>
      </c>
      <c r="D14" s="774">
        <v>0</v>
      </c>
      <c r="E14" s="774">
        <v>0</v>
      </c>
      <c r="F14" s="774">
        <v>0</v>
      </c>
      <c r="G14" s="774">
        <v>0</v>
      </c>
      <c r="H14" s="774">
        <v>0</v>
      </c>
      <c r="I14" s="774">
        <v>0</v>
      </c>
      <c r="J14" s="774">
        <v>0</v>
      </c>
      <c r="K14" s="141" t="s">
        <v>1591</v>
      </c>
    </row>
    <row r="15" spans="2:11" ht="13.5" x14ac:dyDescent="0.25">
      <c r="B15" s="1772" t="s">
        <v>121</v>
      </c>
      <c r="C15" s="774">
        <v>0</v>
      </c>
      <c r="D15" s="774">
        <v>0</v>
      </c>
      <c r="E15" s="774">
        <v>0</v>
      </c>
      <c r="F15" s="774">
        <v>0</v>
      </c>
      <c r="G15" s="774">
        <v>0</v>
      </c>
      <c r="H15" s="774">
        <v>0</v>
      </c>
      <c r="I15" s="774">
        <v>0</v>
      </c>
      <c r="J15" s="774">
        <v>0</v>
      </c>
      <c r="K15" s="141" t="s">
        <v>1592</v>
      </c>
    </row>
    <row r="16" spans="2:11" ht="13.5" x14ac:dyDescent="0.25">
      <c r="B16" s="1772" t="s">
        <v>93</v>
      </c>
      <c r="C16" s="774">
        <v>0</v>
      </c>
      <c r="D16" s="774">
        <v>0</v>
      </c>
      <c r="E16" s="774">
        <v>0</v>
      </c>
      <c r="F16" s="774">
        <v>0</v>
      </c>
      <c r="G16" s="774">
        <v>0</v>
      </c>
      <c r="H16" s="774">
        <v>0</v>
      </c>
      <c r="I16" s="774">
        <v>0</v>
      </c>
      <c r="J16" s="774">
        <v>0</v>
      </c>
      <c r="K16" s="141" t="s">
        <v>1593</v>
      </c>
    </row>
    <row r="17" spans="2:11" ht="13.5" x14ac:dyDescent="0.25">
      <c r="B17" s="1772" t="s">
        <v>46</v>
      </c>
      <c r="C17" s="774">
        <v>0</v>
      </c>
      <c r="D17" s="774">
        <v>0</v>
      </c>
      <c r="E17" s="774">
        <v>0</v>
      </c>
      <c r="F17" s="774">
        <v>0</v>
      </c>
      <c r="G17" s="774">
        <v>0</v>
      </c>
      <c r="H17" s="774">
        <v>0</v>
      </c>
      <c r="I17" s="774">
        <v>0</v>
      </c>
      <c r="J17" s="774">
        <v>0</v>
      </c>
      <c r="K17" s="141" t="s">
        <v>1594</v>
      </c>
    </row>
    <row r="18" spans="2:11" ht="13.5" x14ac:dyDescent="0.25">
      <c r="B18" s="1772" t="s">
        <v>47</v>
      </c>
      <c r="C18" s="774">
        <v>0</v>
      </c>
      <c r="D18" s="774">
        <v>0</v>
      </c>
      <c r="E18" s="774">
        <v>0</v>
      </c>
      <c r="F18" s="774">
        <v>0</v>
      </c>
      <c r="G18" s="774">
        <v>0</v>
      </c>
      <c r="H18" s="774">
        <v>0</v>
      </c>
      <c r="I18" s="774">
        <v>0</v>
      </c>
      <c r="J18" s="774">
        <v>0</v>
      </c>
      <c r="K18" s="141" t="s">
        <v>1595</v>
      </c>
    </row>
    <row r="19" spans="2:11" ht="13.5" x14ac:dyDescent="0.25">
      <c r="B19" s="1772" t="s">
        <v>4</v>
      </c>
      <c r="C19" s="774">
        <v>1303931000</v>
      </c>
      <c r="D19" s="774">
        <v>906786000</v>
      </c>
      <c r="E19" s="774">
        <v>987526000</v>
      </c>
      <c r="F19" s="774">
        <v>1530141000</v>
      </c>
      <c r="G19" s="774">
        <v>1599658000</v>
      </c>
      <c r="H19" s="774">
        <v>1988373000</v>
      </c>
      <c r="I19" s="774">
        <v>2124946000</v>
      </c>
      <c r="J19" s="774">
        <v>2140057000</v>
      </c>
      <c r="K19" s="141" t="s">
        <v>4</v>
      </c>
    </row>
    <row r="20" spans="2:11" ht="13.5" x14ac:dyDescent="0.25">
      <c r="B20" s="1772" t="s">
        <v>122</v>
      </c>
      <c r="C20" s="774">
        <v>0</v>
      </c>
      <c r="D20" s="774">
        <v>0</v>
      </c>
      <c r="E20" s="774">
        <v>0</v>
      </c>
      <c r="F20" s="774">
        <v>0</v>
      </c>
      <c r="G20" s="774">
        <v>0</v>
      </c>
      <c r="H20" s="774">
        <v>0</v>
      </c>
      <c r="I20" s="774">
        <v>0</v>
      </c>
      <c r="J20" s="774">
        <v>0</v>
      </c>
      <c r="K20" s="141" t="s">
        <v>1596</v>
      </c>
    </row>
    <row r="21" spans="2:11" ht="13.5" x14ac:dyDescent="0.25">
      <c r="B21" s="1772" t="s">
        <v>123</v>
      </c>
      <c r="C21" s="774">
        <v>0</v>
      </c>
      <c r="D21" s="774">
        <v>0</v>
      </c>
      <c r="E21" s="774">
        <v>0</v>
      </c>
      <c r="F21" s="774">
        <v>0</v>
      </c>
      <c r="G21" s="774">
        <v>0</v>
      </c>
      <c r="H21" s="774">
        <v>0</v>
      </c>
      <c r="I21" s="774">
        <v>0</v>
      </c>
      <c r="J21" s="774">
        <v>0</v>
      </c>
      <c r="K21" s="141" t="s">
        <v>1597</v>
      </c>
    </row>
    <row r="22" spans="2:11" ht="13.5" x14ac:dyDescent="0.25">
      <c r="B22" s="1772" t="s">
        <v>5</v>
      </c>
      <c r="C22" s="774">
        <v>0</v>
      </c>
      <c r="D22" s="774">
        <v>0</v>
      </c>
      <c r="E22" s="774">
        <v>0</v>
      </c>
      <c r="F22" s="774">
        <v>0</v>
      </c>
      <c r="G22" s="774">
        <v>2176000</v>
      </c>
      <c r="H22" s="774">
        <v>6651000</v>
      </c>
      <c r="I22" s="774">
        <v>7783000</v>
      </c>
      <c r="J22" s="774">
        <v>16293000</v>
      </c>
      <c r="K22" s="141" t="s">
        <v>1598</v>
      </c>
    </row>
    <row r="23" spans="2:11" ht="13.5" x14ac:dyDescent="0.25">
      <c r="B23" s="1772" t="s">
        <v>48</v>
      </c>
      <c r="C23" s="774">
        <v>0</v>
      </c>
      <c r="D23" s="774">
        <v>0</v>
      </c>
      <c r="E23" s="774">
        <v>0</v>
      </c>
      <c r="F23" s="774">
        <v>0</v>
      </c>
      <c r="G23" s="774">
        <v>0</v>
      </c>
      <c r="H23" s="774">
        <v>0</v>
      </c>
      <c r="I23" s="774">
        <v>0</v>
      </c>
      <c r="J23" s="774">
        <v>0</v>
      </c>
      <c r="K23" s="141" t="s">
        <v>1599</v>
      </c>
    </row>
    <row r="24" spans="2:11" ht="13.5" x14ac:dyDescent="0.25">
      <c r="B24" s="1772" t="s">
        <v>49</v>
      </c>
      <c r="C24" s="774">
        <v>0</v>
      </c>
      <c r="D24" s="774">
        <v>0</v>
      </c>
      <c r="E24" s="774">
        <v>0</v>
      </c>
      <c r="F24" s="774">
        <v>0</v>
      </c>
      <c r="G24" s="774">
        <v>0</v>
      </c>
      <c r="H24" s="774">
        <v>0</v>
      </c>
      <c r="I24" s="774">
        <v>0</v>
      </c>
      <c r="J24" s="774">
        <v>0</v>
      </c>
      <c r="K24" s="141" t="s">
        <v>1600</v>
      </c>
    </row>
    <row r="25" spans="2:11" ht="13.5" x14ac:dyDescent="0.25">
      <c r="B25" s="1772" t="s">
        <v>94</v>
      </c>
      <c r="C25" s="774">
        <v>103172000</v>
      </c>
      <c r="D25" s="774">
        <v>108980000</v>
      </c>
      <c r="E25" s="774">
        <v>117984000</v>
      </c>
      <c r="F25" s="774">
        <v>146017000</v>
      </c>
      <c r="G25" s="774">
        <v>124007000</v>
      </c>
      <c r="H25" s="774">
        <v>125274000</v>
      </c>
      <c r="I25" s="774">
        <v>145365000</v>
      </c>
      <c r="J25" s="774">
        <v>179678000</v>
      </c>
      <c r="K25" s="141" t="s">
        <v>1601</v>
      </c>
    </row>
    <row r="26" spans="2:11" ht="13.5" x14ac:dyDescent="0.25">
      <c r="B26" s="1772" t="s">
        <v>50</v>
      </c>
      <c r="C26" s="774">
        <v>0</v>
      </c>
      <c r="D26" s="774">
        <v>0</v>
      </c>
      <c r="E26" s="774">
        <v>0</v>
      </c>
      <c r="F26" s="774">
        <v>0</v>
      </c>
      <c r="G26" s="774">
        <v>0</v>
      </c>
      <c r="H26" s="774">
        <v>0</v>
      </c>
      <c r="I26" s="774">
        <v>0</v>
      </c>
      <c r="J26" s="774">
        <v>0</v>
      </c>
      <c r="K26" s="141" t="s">
        <v>1602</v>
      </c>
    </row>
    <row r="27" spans="2:11" ht="13.5" x14ac:dyDescent="0.25">
      <c r="B27" s="1772" t="s">
        <v>51</v>
      </c>
      <c r="C27" s="774">
        <v>0</v>
      </c>
      <c r="D27" s="774">
        <v>0</v>
      </c>
      <c r="E27" s="774">
        <v>0</v>
      </c>
      <c r="F27" s="774">
        <v>0</v>
      </c>
      <c r="G27" s="774">
        <v>0</v>
      </c>
      <c r="H27" s="774">
        <v>0</v>
      </c>
      <c r="I27" s="774">
        <v>0</v>
      </c>
      <c r="J27" s="774">
        <v>0</v>
      </c>
      <c r="K27" s="141" t="s">
        <v>1603</v>
      </c>
    </row>
    <row r="28" spans="2:11" ht="13.5" x14ac:dyDescent="0.25">
      <c r="B28" s="1772" t="s">
        <v>52</v>
      </c>
      <c r="C28" s="774">
        <v>0</v>
      </c>
      <c r="D28" s="774">
        <v>0</v>
      </c>
      <c r="E28" s="774">
        <v>0</v>
      </c>
      <c r="F28" s="774">
        <v>0</v>
      </c>
      <c r="G28" s="774">
        <v>0</v>
      </c>
      <c r="H28" s="774">
        <v>0</v>
      </c>
      <c r="I28" s="774">
        <v>0</v>
      </c>
      <c r="J28" s="774">
        <v>0</v>
      </c>
      <c r="K28" s="141" t="s">
        <v>1604</v>
      </c>
    </row>
    <row r="29" spans="2:11" ht="13.5" x14ac:dyDescent="0.25">
      <c r="B29" s="1772" t="s">
        <v>173</v>
      </c>
      <c r="C29" s="774">
        <v>0</v>
      </c>
      <c r="D29" s="774">
        <v>0</v>
      </c>
      <c r="E29" s="774">
        <v>0</v>
      </c>
      <c r="F29" s="774">
        <v>0</v>
      </c>
      <c r="G29" s="774">
        <v>0</v>
      </c>
      <c r="H29" s="774">
        <v>0</v>
      </c>
      <c r="I29" s="774">
        <v>0</v>
      </c>
      <c r="J29" s="774">
        <v>0</v>
      </c>
      <c r="K29" s="141" t="s">
        <v>1605</v>
      </c>
    </row>
    <row r="30" spans="2:11" ht="13.5" x14ac:dyDescent="0.25">
      <c r="B30" s="1772" t="s">
        <v>53</v>
      </c>
      <c r="C30" s="774">
        <v>0</v>
      </c>
      <c r="D30" s="774">
        <v>0</v>
      </c>
      <c r="E30" s="774">
        <v>0</v>
      </c>
      <c r="F30" s="774">
        <v>0</v>
      </c>
      <c r="G30" s="774">
        <v>0</v>
      </c>
      <c r="H30" s="774">
        <v>0</v>
      </c>
      <c r="I30" s="774">
        <v>0</v>
      </c>
      <c r="J30" s="774">
        <v>0</v>
      </c>
      <c r="K30" s="141" t="s">
        <v>1606</v>
      </c>
    </row>
    <row r="31" spans="2:11" ht="13.5" x14ac:dyDescent="0.25">
      <c r="B31" s="1772" t="s">
        <v>54</v>
      </c>
      <c r="C31" s="774">
        <v>0</v>
      </c>
      <c r="D31" s="774">
        <v>0</v>
      </c>
      <c r="E31" s="774">
        <v>0</v>
      </c>
      <c r="F31" s="774">
        <v>0</v>
      </c>
      <c r="G31" s="774">
        <v>8571000</v>
      </c>
      <c r="H31" s="774">
        <v>8836000</v>
      </c>
      <c r="I31" s="774">
        <v>11815000</v>
      </c>
      <c r="J31" s="774">
        <v>10114000</v>
      </c>
      <c r="K31" s="141" t="s">
        <v>1607</v>
      </c>
    </row>
    <row r="32" spans="2:11" ht="13.5" x14ac:dyDescent="0.25">
      <c r="B32" s="1771" t="s">
        <v>55</v>
      </c>
      <c r="C32" s="773">
        <v>2435574000</v>
      </c>
      <c r="D32" s="773">
        <v>2268703000</v>
      </c>
      <c r="E32" s="773">
        <v>2573320000</v>
      </c>
      <c r="F32" s="773">
        <v>3163904000</v>
      </c>
      <c r="G32" s="773">
        <v>3491475000</v>
      </c>
      <c r="H32" s="773">
        <v>3751798000</v>
      </c>
      <c r="I32" s="773">
        <v>3923248000</v>
      </c>
      <c r="J32" s="773">
        <v>4332256000</v>
      </c>
      <c r="K32" s="141" t="s">
        <v>1608</v>
      </c>
    </row>
    <row r="33" spans="2:11" ht="13.5" x14ac:dyDescent="0.25">
      <c r="B33" s="1772" t="s">
        <v>41</v>
      </c>
      <c r="C33" s="774">
        <v>0</v>
      </c>
      <c r="D33" s="774">
        <v>0</v>
      </c>
      <c r="E33" s="774">
        <v>0</v>
      </c>
      <c r="F33" s="774">
        <v>0</v>
      </c>
      <c r="G33" s="774">
        <v>0</v>
      </c>
      <c r="H33" s="774">
        <v>0</v>
      </c>
      <c r="I33" s="774">
        <v>0</v>
      </c>
      <c r="J33" s="774">
        <v>0</v>
      </c>
      <c r="K33" s="141" t="s">
        <v>1609</v>
      </c>
    </row>
    <row r="34" spans="2:11" ht="13.5" x14ac:dyDescent="0.25">
      <c r="B34" s="1772" t="s">
        <v>2</v>
      </c>
      <c r="C34" s="774">
        <v>0</v>
      </c>
      <c r="D34" s="774">
        <v>0</v>
      </c>
      <c r="E34" s="774">
        <v>0</v>
      </c>
      <c r="F34" s="774">
        <v>0</v>
      </c>
      <c r="G34" s="774">
        <v>0</v>
      </c>
      <c r="H34" s="774">
        <v>0</v>
      </c>
      <c r="I34" s="774">
        <v>0</v>
      </c>
      <c r="J34" s="774">
        <v>0</v>
      </c>
      <c r="K34" s="141" t="s">
        <v>1610</v>
      </c>
    </row>
    <row r="35" spans="2:11" ht="13.5" x14ac:dyDescent="0.25">
      <c r="B35" s="1772" t="s">
        <v>43</v>
      </c>
      <c r="C35" s="774">
        <v>0</v>
      </c>
      <c r="D35" s="774">
        <v>0</v>
      </c>
      <c r="E35" s="774">
        <v>0</v>
      </c>
      <c r="F35" s="774">
        <v>0</v>
      </c>
      <c r="G35" s="774">
        <v>0</v>
      </c>
      <c r="H35" s="774">
        <v>0</v>
      </c>
      <c r="I35" s="774">
        <v>0</v>
      </c>
      <c r="J35" s="774">
        <v>0</v>
      </c>
      <c r="K35" s="141" t="s">
        <v>1611</v>
      </c>
    </row>
    <row r="36" spans="2:11" ht="13.5" x14ac:dyDescent="0.25">
      <c r="B36" s="1772" t="s">
        <v>6</v>
      </c>
      <c r="C36" s="774">
        <v>9060000</v>
      </c>
      <c r="D36" s="774">
        <v>4254000</v>
      </c>
      <c r="E36" s="774">
        <v>12461000</v>
      </c>
      <c r="F36" s="774">
        <v>16018000</v>
      </c>
      <c r="G36" s="774">
        <v>10969000</v>
      </c>
      <c r="H36" s="774">
        <v>27456000</v>
      </c>
      <c r="I36" s="774">
        <v>24423000</v>
      </c>
      <c r="J36" s="774">
        <v>13205000</v>
      </c>
      <c r="K36" s="141" t="s">
        <v>1612</v>
      </c>
    </row>
    <row r="37" spans="2:11" ht="13.5" x14ac:dyDescent="0.25">
      <c r="B37" s="1772" t="s">
        <v>45</v>
      </c>
      <c r="C37" s="774">
        <v>0</v>
      </c>
      <c r="D37" s="774">
        <v>0</v>
      </c>
      <c r="E37" s="774">
        <v>0</v>
      </c>
      <c r="F37" s="774">
        <v>0</v>
      </c>
      <c r="G37" s="774">
        <v>0</v>
      </c>
      <c r="H37" s="774">
        <v>0</v>
      </c>
      <c r="I37" s="774">
        <v>0</v>
      </c>
      <c r="J37" s="774">
        <v>0</v>
      </c>
      <c r="K37" s="141" t="s">
        <v>1613</v>
      </c>
    </row>
    <row r="38" spans="2:11" ht="13.5" x14ac:dyDescent="0.25">
      <c r="B38" s="1772" t="s">
        <v>3</v>
      </c>
      <c r="C38" s="774">
        <v>0</v>
      </c>
      <c r="D38" s="774">
        <v>0</v>
      </c>
      <c r="E38" s="774">
        <v>0</v>
      </c>
      <c r="F38" s="774">
        <v>0</v>
      </c>
      <c r="G38" s="774">
        <v>0</v>
      </c>
      <c r="H38" s="774">
        <v>0</v>
      </c>
      <c r="I38" s="774">
        <v>0</v>
      </c>
      <c r="J38" s="774">
        <v>0</v>
      </c>
      <c r="K38" s="141" t="s">
        <v>1614</v>
      </c>
    </row>
    <row r="39" spans="2:11" ht="13.5" x14ac:dyDescent="0.25">
      <c r="B39" s="1772" t="s">
        <v>121</v>
      </c>
      <c r="C39" s="774">
        <v>0</v>
      </c>
      <c r="D39" s="774">
        <v>0</v>
      </c>
      <c r="E39" s="774">
        <v>0</v>
      </c>
      <c r="F39" s="774">
        <v>0</v>
      </c>
      <c r="G39" s="774">
        <v>0</v>
      </c>
      <c r="H39" s="774">
        <v>0</v>
      </c>
      <c r="I39" s="774">
        <v>0</v>
      </c>
      <c r="J39" s="774">
        <v>0</v>
      </c>
      <c r="K39" s="141" t="s">
        <v>1615</v>
      </c>
    </row>
    <row r="40" spans="2:11" ht="13.5" x14ac:dyDescent="0.25">
      <c r="B40" s="1772" t="s">
        <v>5</v>
      </c>
      <c r="C40" s="774">
        <v>0</v>
      </c>
      <c r="D40" s="774">
        <v>0</v>
      </c>
      <c r="E40" s="774">
        <v>0</v>
      </c>
      <c r="F40" s="774">
        <v>0</v>
      </c>
      <c r="G40" s="774">
        <v>0</v>
      </c>
      <c r="H40" s="774">
        <v>0</v>
      </c>
      <c r="I40" s="774">
        <v>17803000</v>
      </c>
      <c r="J40" s="774">
        <v>144742000</v>
      </c>
      <c r="K40" s="141" t="s">
        <v>1616</v>
      </c>
    </row>
    <row r="41" spans="2:11" ht="13.5" x14ac:dyDescent="0.25">
      <c r="B41" s="1772" t="s">
        <v>95</v>
      </c>
      <c r="C41" s="774">
        <v>0</v>
      </c>
      <c r="D41" s="774">
        <v>0</v>
      </c>
      <c r="E41" s="774">
        <v>0</v>
      </c>
      <c r="F41" s="774">
        <v>0</v>
      </c>
      <c r="G41" s="774">
        <v>0</v>
      </c>
      <c r="H41" s="774">
        <v>0</v>
      </c>
      <c r="I41" s="774">
        <v>0</v>
      </c>
      <c r="J41" s="774">
        <v>0</v>
      </c>
      <c r="K41" s="141" t="s">
        <v>1617</v>
      </c>
    </row>
    <row r="42" spans="2:11" ht="13.5" x14ac:dyDescent="0.25">
      <c r="B42" s="1772" t="s">
        <v>40</v>
      </c>
      <c r="C42" s="774">
        <v>543443000</v>
      </c>
      <c r="D42" s="774">
        <v>395814000</v>
      </c>
      <c r="E42" s="774">
        <v>658679000</v>
      </c>
      <c r="F42" s="774">
        <v>491376000</v>
      </c>
      <c r="G42" s="774">
        <v>638741000</v>
      </c>
      <c r="H42" s="774">
        <v>539170000</v>
      </c>
      <c r="I42" s="774">
        <v>698488000</v>
      </c>
      <c r="J42" s="774">
        <v>539176000</v>
      </c>
      <c r="K42" s="141" t="s">
        <v>1618</v>
      </c>
    </row>
    <row r="43" spans="2:11" ht="13.5" x14ac:dyDescent="0.25">
      <c r="B43" s="1772" t="s">
        <v>96</v>
      </c>
      <c r="C43" s="774">
        <v>123602000</v>
      </c>
      <c r="D43" s="774">
        <v>129169000</v>
      </c>
      <c r="E43" s="774">
        <v>136604000</v>
      </c>
      <c r="F43" s="774">
        <v>160580000</v>
      </c>
      <c r="G43" s="774">
        <v>182614000</v>
      </c>
      <c r="H43" s="774">
        <v>192404000</v>
      </c>
      <c r="I43" s="774">
        <v>195311000</v>
      </c>
      <c r="J43" s="774">
        <v>209881000</v>
      </c>
      <c r="K43" s="141" t="s">
        <v>1619</v>
      </c>
    </row>
    <row r="44" spans="2:11" ht="13.5" x14ac:dyDescent="0.25">
      <c r="B44" s="1772" t="s">
        <v>46</v>
      </c>
      <c r="C44" s="774">
        <v>0</v>
      </c>
      <c r="D44" s="774">
        <v>0</v>
      </c>
      <c r="E44" s="774">
        <v>0</v>
      </c>
      <c r="F44" s="774">
        <v>0</v>
      </c>
      <c r="G44" s="774">
        <v>0</v>
      </c>
      <c r="H44" s="774">
        <v>0</v>
      </c>
      <c r="I44" s="774">
        <v>0</v>
      </c>
      <c r="J44" s="774">
        <v>0</v>
      </c>
      <c r="K44" s="141" t="s">
        <v>1620</v>
      </c>
    </row>
    <row r="45" spans="2:11" ht="13.5" x14ac:dyDescent="0.25">
      <c r="B45" s="1772" t="s">
        <v>4</v>
      </c>
      <c r="C45" s="774">
        <v>0</v>
      </c>
      <c r="D45" s="774">
        <v>0</v>
      </c>
      <c r="E45" s="774">
        <v>0</v>
      </c>
      <c r="F45" s="774">
        <v>0</v>
      </c>
      <c r="G45" s="774">
        <v>0</v>
      </c>
      <c r="H45" s="774">
        <v>0</v>
      </c>
      <c r="I45" s="774">
        <v>0</v>
      </c>
      <c r="J45" s="774">
        <v>0</v>
      </c>
      <c r="K45" s="141" t="s">
        <v>1621</v>
      </c>
    </row>
    <row r="46" spans="2:11" ht="13.5" x14ac:dyDescent="0.25">
      <c r="B46" s="1772" t="s">
        <v>56</v>
      </c>
      <c r="C46" s="774">
        <v>0</v>
      </c>
      <c r="D46" s="774">
        <v>0</v>
      </c>
      <c r="E46" s="774">
        <v>0</v>
      </c>
      <c r="F46" s="774">
        <v>0</v>
      </c>
      <c r="G46" s="774">
        <v>0</v>
      </c>
      <c r="H46" s="774">
        <v>0</v>
      </c>
      <c r="I46" s="774">
        <v>0</v>
      </c>
      <c r="J46" s="774">
        <v>0</v>
      </c>
      <c r="K46" s="141" t="s">
        <v>1622</v>
      </c>
    </row>
    <row r="47" spans="2:11" ht="13.5" x14ac:dyDescent="0.25">
      <c r="B47" s="1772" t="s">
        <v>124</v>
      </c>
      <c r="C47" s="774">
        <v>10255000</v>
      </c>
      <c r="D47" s="774">
        <v>7511000</v>
      </c>
      <c r="E47" s="774">
        <v>7190000</v>
      </c>
      <c r="F47" s="774">
        <v>196167000</v>
      </c>
      <c r="G47" s="774">
        <v>177080000</v>
      </c>
      <c r="H47" s="774">
        <v>0</v>
      </c>
      <c r="I47" s="774">
        <v>0</v>
      </c>
      <c r="J47" s="774">
        <v>0</v>
      </c>
      <c r="K47" s="141" t="s">
        <v>1623</v>
      </c>
    </row>
    <row r="48" spans="2:11" ht="13.5" x14ac:dyDescent="0.25">
      <c r="B48" s="1772" t="s">
        <v>57</v>
      </c>
      <c r="C48" s="774">
        <v>8788000</v>
      </c>
      <c r="D48" s="774">
        <v>6344000</v>
      </c>
      <c r="E48" s="774">
        <v>5480000</v>
      </c>
      <c r="F48" s="774">
        <v>6441000</v>
      </c>
      <c r="G48" s="774">
        <v>5099000</v>
      </c>
      <c r="H48" s="774">
        <v>6346000</v>
      </c>
      <c r="I48" s="774">
        <v>5929000</v>
      </c>
      <c r="J48" s="774">
        <v>0</v>
      </c>
      <c r="K48" s="141" t="s">
        <v>1624</v>
      </c>
    </row>
    <row r="49" spans="2:11" ht="13.5" x14ac:dyDescent="0.25">
      <c r="B49" s="1772" t="s">
        <v>58</v>
      </c>
      <c r="C49" s="774">
        <v>0</v>
      </c>
      <c r="D49" s="774">
        <v>0</v>
      </c>
      <c r="E49" s="774">
        <v>0</v>
      </c>
      <c r="F49" s="774">
        <v>0</v>
      </c>
      <c r="G49" s="774">
        <v>0</v>
      </c>
      <c r="H49" s="774">
        <v>0</v>
      </c>
      <c r="I49" s="774">
        <v>0</v>
      </c>
      <c r="J49" s="774">
        <v>0</v>
      </c>
      <c r="K49" s="141" t="s">
        <v>1625</v>
      </c>
    </row>
    <row r="50" spans="2:11" ht="13.5" x14ac:dyDescent="0.25">
      <c r="B50" s="1772" t="s">
        <v>59</v>
      </c>
      <c r="C50" s="774">
        <v>1272333000</v>
      </c>
      <c r="D50" s="774">
        <v>1244109000</v>
      </c>
      <c r="E50" s="774">
        <v>1252245000</v>
      </c>
      <c r="F50" s="774">
        <v>1446841000</v>
      </c>
      <c r="G50" s="774">
        <v>1603403000</v>
      </c>
      <c r="H50" s="774">
        <v>1836789000</v>
      </c>
      <c r="I50" s="774">
        <v>1812746000</v>
      </c>
      <c r="J50" s="774">
        <v>2055675000</v>
      </c>
      <c r="K50" s="141" t="s">
        <v>1626</v>
      </c>
    </row>
    <row r="51" spans="2:11" ht="13.5" x14ac:dyDescent="0.25">
      <c r="B51" s="1772" t="s">
        <v>60</v>
      </c>
      <c r="C51" s="774">
        <v>402215000</v>
      </c>
      <c r="D51" s="774">
        <v>439993000</v>
      </c>
      <c r="E51" s="774">
        <v>461417000</v>
      </c>
      <c r="F51" s="774">
        <v>783094000</v>
      </c>
      <c r="G51" s="774">
        <v>787601000</v>
      </c>
      <c r="H51" s="774">
        <v>1058974000</v>
      </c>
      <c r="I51" s="774">
        <v>1091195000</v>
      </c>
      <c r="J51" s="774">
        <v>1170930000</v>
      </c>
      <c r="K51" s="141" t="s">
        <v>1627</v>
      </c>
    </row>
    <row r="52" spans="2:11" ht="13.5" x14ac:dyDescent="0.25">
      <c r="B52" s="1772" t="s">
        <v>123</v>
      </c>
      <c r="C52" s="774">
        <v>0</v>
      </c>
      <c r="D52" s="774">
        <v>0</v>
      </c>
      <c r="E52" s="774">
        <v>0</v>
      </c>
      <c r="F52" s="774">
        <v>0</v>
      </c>
      <c r="G52" s="774">
        <v>0</v>
      </c>
      <c r="H52" s="774">
        <v>0</v>
      </c>
      <c r="I52" s="774">
        <v>0</v>
      </c>
      <c r="J52" s="774">
        <v>0</v>
      </c>
      <c r="K52" s="141" t="s">
        <v>1628</v>
      </c>
    </row>
    <row r="53" spans="2:11" ht="13.5" x14ac:dyDescent="0.25">
      <c r="B53" s="1772" t="s">
        <v>48</v>
      </c>
      <c r="C53" s="774">
        <v>65878000</v>
      </c>
      <c r="D53" s="774">
        <v>41509000</v>
      </c>
      <c r="E53" s="774">
        <v>39244000</v>
      </c>
      <c r="F53" s="774">
        <v>63387000</v>
      </c>
      <c r="G53" s="774">
        <v>85968000</v>
      </c>
      <c r="H53" s="774">
        <v>90659000</v>
      </c>
      <c r="I53" s="774">
        <v>77353000</v>
      </c>
      <c r="J53" s="774">
        <v>198647000</v>
      </c>
      <c r="K53" s="141" t="s">
        <v>1629</v>
      </c>
    </row>
    <row r="54" spans="2:11" ht="13.5" x14ac:dyDescent="0.25">
      <c r="B54" s="1772" t="s">
        <v>122</v>
      </c>
      <c r="C54" s="774">
        <v>0</v>
      </c>
      <c r="D54" s="774">
        <v>0</v>
      </c>
      <c r="E54" s="774">
        <v>0</v>
      </c>
      <c r="F54" s="774">
        <v>0</v>
      </c>
      <c r="G54" s="774">
        <v>0</v>
      </c>
      <c r="H54" s="774">
        <v>0</v>
      </c>
      <c r="I54" s="774">
        <v>0</v>
      </c>
      <c r="J54" s="774">
        <v>0</v>
      </c>
      <c r="K54" s="141" t="s">
        <v>1630</v>
      </c>
    </row>
    <row r="55" spans="2:11" ht="13.5" x14ac:dyDescent="0.25">
      <c r="B55" s="1772" t="s">
        <v>97</v>
      </c>
      <c r="C55" s="774">
        <v>0</v>
      </c>
      <c r="D55" s="774">
        <v>0</v>
      </c>
      <c r="E55" s="774">
        <v>0</v>
      </c>
      <c r="F55" s="774">
        <v>0</v>
      </c>
      <c r="G55" s="774">
        <v>0</v>
      </c>
      <c r="H55" s="774">
        <v>0</v>
      </c>
      <c r="I55" s="774">
        <v>0</v>
      </c>
      <c r="J55" s="774">
        <v>0</v>
      </c>
      <c r="K55" s="141" t="s">
        <v>1631</v>
      </c>
    </row>
    <row r="56" spans="2:11" ht="13.5" x14ac:dyDescent="0.25">
      <c r="B56" s="1772" t="s">
        <v>50</v>
      </c>
      <c r="C56" s="774">
        <v>0</v>
      </c>
      <c r="D56" s="774">
        <v>0</v>
      </c>
      <c r="E56" s="774">
        <v>0</v>
      </c>
      <c r="F56" s="774">
        <v>0</v>
      </c>
      <c r="G56" s="774">
        <v>0</v>
      </c>
      <c r="H56" s="774">
        <v>0</v>
      </c>
      <c r="I56" s="774">
        <v>0</v>
      </c>
      <c r="J56" s="774">
        <v>0</v>
      </c>
      <c r="K56" s="141" t="s">
        <v>1632</v>
      </c>
    </row>
    <row r="57" spans="2:11" ht="13.5" x14ac:dyDescent="0.25">
      <c r="B57" s="1772" t="s">
        <v>51</v>
      </c>
      <c r="C57" s="774">
        <v>0</v>
      </c>
      <c r="D57" s="774">
        <v>0</v>
      </c>
      <c r="E57" s="774">
        <v>0</v>
      </c>
      <c r="F57" s="774">
        <v>0</v>
      </c>
      <c r="G57" s="774">
        <v>0</v>
      </c>
      <c r="H57" s="774">
        <v>0</v>
      </c>
      <c r="I57" s="774">
        <v>0</v>
      </c>
      <c r="J57" s="774">
        <v>0</v>
      </c>
      <c r="K57" s="141" t="s">
        <v>1633</v>
      </c>
    </row>
    <row r="58" spans="2:11" ht="13.5" x14ac:dyDescent="0.25">
      <c r="B58" s="1772" t="s">
        <v>174</v>
      </c>
      <c r="C58" s="774">
        <v>0</v>
      </c>
      <c r="D58" s="774">
        <v>0</v>
      </c>
      <c r="E58" s="774">
        <v>0</v>
      </c>
      <c r="F58" s="774">
        <v>0</v>
      </c>
      <c r="G58" s="774">
        <v>0</v>
      </c>
      <c r="H58" s="774">
        <v>0</v>
      </c>
      <c r="I58" s="774">
        <v>0</v>
      </c>
      <c r="J58" s="774">
        <v>0</v>
      </c>
      <c r="K58" s="141" t="s">
        <v>1634</v>
      </c>
    </row>
    <row r="59" spans="2:11" ht="13.5" x14ac:dyDescent="0.25">
      <c r="B59" s="1772" t="s">
        <v>125</v>
      </c>
      <c r="C59" s="774">
        <v>0</v>
      </c>
      <c r="D59" s="774">
        <v>0</v>
      </c>
      <c r="E59" s="774">
        <v>0</v>
      </c>
      <c r="F59" s="774">
        <v>0</v>
      </c>
      <c r="G59" s="774">
        <v>0</v>
      </c>
      <c r="H59" s="774">
        <v>0</v>
      </c>
      <c r="I59" s="774">
        <v>0</v>
      </c>
      <c r="J59" s="774">
        <v>0</v>
      </c>
      <c r="K59" s="141" t="s">
        <v>1635</v>
      </c>
    </row>
    <row r="60" spans="2:11" ht="13.5" x14ac:dyDescent="0.25">
      <c r="B60" s="1771" t="s">
        <v>61</v>
      </c>
      <c r="C60" s="773">
        <v>6929229000</v>
      </c>
      <c r="D60" s="773">
        <v>6426658000</v>
      </c>
      <c r="E60" s="773">
        <v>7321759000</v>
      </c>
      <c r="F60" s="773">
        <v>9197753000</v>
      </c>
      <c r="G60" s="773">
        <v>10228153000</v>
      </c>
      <c r="H60" s="773">
        <v>11410916000</v>
      </c>
      <c r="I60" s="773">
        <v>12395005000</v>
      </c>
      <c r="J60" s="773">
        <v>13738508000</v>
      </c>
      <c r="K60" s="141" t="s">
        <v>1636</v>
      </c>
    </row>
    <row r="61" spans="2:11" ht="13.5" x14ac:dyDescent="0.25">
      <c r="B61" s="1771" t="s">
        <v>62</v>
      </c>
      <c r="C61" s="773">
        <v>3061056000</v>
      </c>
      <c r="D61" s="773">
        <v>3179663000</v>
      </c>
      <c r="E61" s="773">
        <v>2341989000</v>
      </c>
      <c r="F61" s="773">
        <v>3530620000</v>
      </c>
      <c r="G61" s="773">
        <v>3949762000</v>
      </c>
      <c r="H61" s="773">
        <v>4091143000</v>
      </c>
      <c r="I61" s="773">
        <v>4430803000</v>
      </c>
      <c r="J61" s="773">
        <v>5236297000</v>
      </c>
      <c r="K61" s="141" t="s">
        <v>1637</v>
      </c>
    </row>
    <row r="62" spans="2:11" ht="13.5" x14ac:dyDescent="0.25">
      <c r="B62" s="1772" t="s">
        <v>7</v>
      </c>
      <c r="C62" s="774">
        <v>1914505000</v>
      </c>
      <c r="D62" s="774">
        <v>1923727000</v>
      </c>
      <c r="E62" s="774">
        <v>839220000</v>
      </c>
      <c r="F62" s="774">
        <v>1628943000</v>
      </c>
      <c r="G62" s="774">
        <v>2144406000</v>
      </c>
      <c r="H62" s="774">
        <v>612048000</v>
      </c>
      <c r="I62" s="774">
        <v>719862000</v>
      </c>
      <c r="J62" s="774">
        <v>1035741000</v>
      </c>
      <c r="K62" s="141" t="s">
        <v>1638</v>
      </c>
    </row>
    <row r="63" spans="2:11" ht="13.5" x14ac:dyDescent="0.25">
      <c r="B63" s="1772" t="s">
        <v>63</v>
      </c>
      <c r="C63" s="774">
        <v>0</v>
      </c>
      <c r="D63" s="774">
        <v>0</v>
      </c>
      <c r="E63" s="774">
        <v>0</v>
      </c>
      <c r="F63" s="774">
        <v>0</v>
      </c>
      <c r="G63" s="774">
        <v>0</v>
      </c>
      <c r="H63" s="774">
        <v>1061331000</v>
      </c>
      <c r="I63" s="774">
        <v>1082761000</v>
      </c>
      <c r="J63" s="774">
        <v>1149001000</v>
      </c>
      <c r="K63" s="141" t="s">
        <v>1639</v>
      </c>
    </row>
    <row r="64" spans="2:11" ht="13.5" x14ac:dyDescent="0.25">
      <c r="B64" s="1772" t="s">
        <v>8</v>
      </c>
      <c r="C64" s="774">
        <v>0</v>
      </c>
      <c r="D64" s="774">
        <v>0</v>
      </c>
      <c r="E64" s="774">
        <v>0</v>
      </c>
      <c r="F64" s="774">
        <v>0</v>
      </c>
      <c r="G64" s="774">
        <v>0</v>
      </c>
      <c r="H64" s="774">
        <v>0</v>
      </c>
      <c r="I64" s="774">
        <v>0</v>
      </c>
      <c r="J64" s="774">
        <v>0</v>
      </c>
      <c r="K64" s="141" t="s">
        <v>1640</v>
      </c>
    </row>
    <row r="65" spans="2:11" ht="13.5" x14ac:dyDescent="0.25">
      <c r="B65" s="1772" t="s">
        <v>9</v>
      </c>
      <c r="C65" s="774">
        <v>0</v>
      </c>
      <c r="D65" s="774">
        <v>0</v>
      </c>
      <c r="E65" s="774">
        <v>0</v>
      </c>
      <c r="F65" s="774">
        <v>0</v>
      </c>
      <c r="G65" s="774">
        <v>3680000</v>
      </c>
      <c r="H65" s="774">
        <v>14497000</v>
      </c>
      <c r="I65" s="774">
        <v>3811000</v>
      </c>
      <c r="J65" s="774">
        <v>3263000</v>
      </c>
      <c r="K65" s="141" t="s">
        <v>1641</v>
      </c>
    </row>
    <row r="66" spans="2:11" ht="13.5" x14ac:dyDescent="0.25">
      <c r="B66" s="1772" t="s">
        <v>64</v>
      </c>
      <c r="C66" s="774">
        <v>0</v>
      </c>
      <c r="D66" s="774">
        <v>0</v>
      </c>
      <c r="E66" s="774">
        <v>0</v>
      </c>
      <c r="F66" s="774">
        <v>0</v>
      </c>
      <c r="G66" s="774">
        <v>0</v>
      </c>
      <c r="H66" s="774">
        <v>0</v>
      </c>
      <c r="I66" s="774">
        <v>0</v>
      </c>
      <c r="J66" s="774">
        <v>0</v>
      </c>
      <c r="K66" s="141" t="s">
        <v>1642</v>
      </c>
    </row>
    <row r="67" spans="2:11" ht="13.5" x14ac:dyDescent="0.25">
      <c r="B67" s="1772" t="s">
        <v>126</v>
      </c>
      <c r="C67" s="774">
        <v>0</v>
      </c>
      <c r="D67" s="774">
        <v>0</v>
      </c>
      <c r="E67" s="774">
        <v>0</v>
      </c>
      <c r="F67" s="774">
        <v>0</v>
      </c>
      <c r="G67" s="774">
        <v>0</v>
      </c>
      <c r="H67" s="774">
        <v>0</v>
      </c>
      <c r="I67" s="774">
        <v>0</v>
      </c>
      <c r="J67" s="774">
        <v>0</v>
      </c>
      <c r="K67" s="141" t="s">
        <v>1643</v>
      </c>
    </row>
    <row r="68" spans="2:11" ht="13.5" x14ac:dyDescent="0.25">
      <c r="B68" s="1772" t="s">
        <v>10</v>
      </c>
      <c r="C68" s="774">
        <v>0</v>
      </c>
      <c r="D68" s="774">
        <v>0</v>
      </c>
      <c r="E68" s="774">
        <v>0</v>
      </c>
      <c r="F68" s="774">
        <v>0</v>
      </c>
      <c r="G68" s="774">
        <v>0</v>
      </c>
      <c r="H68" s="774">
        <v>0</v>
      </c>
      <c r="I68" s="774">
        <v>0</v>
      </c>
      <c r="J68" s="774">
        <v>0</v>
      </c>
      <c r="K68" s="141" t="s">
        <v>1644</v>
      </c>
    </row>
    <row r="69" spans="2:11" ht="13.5" x14ac:dyDescent="0.25">
      <c r="B69" s="1772" t="s">
        <v>127</v>
      </c>
      <c r="C69" s="774">
        <v>0</v>
      </c>
      <c r="D69" s="774">
        <v>0</v>
      </c>
      <c r="E69" s="774">
        <v>0</v>
      </c>
      <c r="F69" s="774">
        <v>0</v>
      </c>
      <c r="G69" s="774">
        <v>0</v>
      </c>
      <c r="H69" s="774">
        <v>0</v>
      </c>
      <c r="I69" s="774">
        <v>0</v>
      </c>
      <c r="J69" s="774">
        <v>0</v>
      </c>
      <c r="K69" s="141" t="s">
        <v>1645</v>
      </c>
    </row>
    <row r="70" spans="2:11" ht="13.5" x14ac:dyDescent="0.25">
      <c r="B70" s="1772" t="s">
        <v>98</v>
      </c>
      <c r="C70" s="774">
        <v>5533000</v>
      </c>
      <c r="D70" s="774">
        <v>698000</v>
      </c>
      <c r="E70" s="774">
        <v>239000</v>
      </c>
      <c r="F70" s="774">
        <v>195000</v>
      </c>
      <c r="G70" s="774">
        <v>0</v>
      </c>
      <c r="H70" s="774">
        <v>0</v>
      </c>
      <c r="I70" s="774">
        <v>0</v>
      </c>
      <c r="J70" s="774">
        <v>0</v>
      </c>
      <c r="K70" s="141" t="s">
        <v>1646</v>
      </c>
    </row>
    <row r="71" spans="2:11" ht="13.5" x14ac:dyDescent="0.25">
      <c r="B71" s="1772" t="s">
        <v>11</v>
      </c>
      <c r="C71" s="774">
        <v>705327000</v>
      </c>
      <c r="D71" s="774">
        <v>762402000</v>
      </c>
      <c r="E71" s="774">
        <v>968962000</v>
      </c>
      <c r="F71" s="774">
        <v>1249531000</v>
      </c>
      <c r="G71" s="774">
        <v>1168774000</v>
      </c>
      <c r="H71" s="774">
        <v>1644900000</v>
      </c>
      <c r="I71" s="774">
        <v>1781442000</v>
      </c>
      <c r="J71" s="774">
        <v>2090394000</v>
      </c>
      <c r="K71" s="141" t="s">
        <v>1647</v>
      </c>
    </row>
    <row r="72" spans="2:11" ht="13.5" x14ac:dyDescent="0.25">
      <c r="B72" s="1772" t="s">
        <v>175</v>
      </c>
      <c r="C72" s="774">
        <v>0</v>
      </c>
      <c r="D72" s="774">
        <v>0</v>
      </c>
      <c r="E72" s="774">
        <v>0</v>
      </c>
      <c r="F72" s="774">
        <v>0</v>
      </c>
      <c r="G72" s="774">
        <v>7030000</v>
      </c>
      <c r="H72" s="774">
        <v>0</v>
      </c>
      <c r="I72" s="774">
        <v>0</v>
      </c>
      <c r="J72" s="774">
        <v>0</v>
      </c>
      <c r="K72" s="141" t="s">
        <v>1648</v>
      </c>
    </row>
    <row r="73" spans="2:11" ht="13.5" x14ac:dyDescent="0.25">
      <c r="B73" s="1772" t="s">
        <v>65</v>
      </c>
      <c r="C73" s="774">
        <v>0</v>
      </c>
      <c r="D73" s="774">
        <v>0</v>
      </c>
      <c r="E73" s="774">
        <v>0</v>
      </c>
      <c r="F73" s="774">
        <v>0</v>
      </c>
      <c r="G73" s="774">
        <v>0</v>
      </c>
      <c r="H73" s="774">
        <v>0</v>
      </c>
      <c r="I73" s="774">
        <v>0</v>
      </c>
      <c r="J73" s="774">
        <v>0</v>
      </c>
      <c r="K73" s="141" t="s">
        <v>1649</v>
      </c>
    </row>
    <row r="74" spans="2:11" ht="13.5" x14ac:dyDescent="0.25">
      <c r="B74" s="1772" t="s">
        <v>99</v>
      </c>
      <c r="C74" s="774">
        <v>83835000</v>
      </c>
      <c r="D74" s="774">
        <v>104533000</v>
      </c>
      <c r="E74" s="774">
        <v>129530000</v>
      </c>
      <c r="F74" s="774">
        <v>183691000</v>
      </c>
      <c r="G74" s="774">
        <v>164984000</v>
      </c>
      <c r="H74" s="774">
        <v>105386000</v>
      </c>
      <c r="I74" s="774">
        <v>124918000</v>
      </c>
      <c r="J74" s="774">
        <v>168519000</v>
      </c>
      <c r="K74" s="141" t="s">
        <v>1650</v>
      </c>
    </row>
    <row r="75" spans="2:11" ht="13.5" x14ac:dyDescent="0.25">
      <c r="B75" s="1772" t="s">
        <v>66</v>
      </c>
      <c r="C75" s="774">
        <v>0</v>
      </c>
      <c r="D75" s="774">
        <v>0</v>
      </c>
      <c r="E75" s="774">
        <v>0</v>
      </c>
      <c r="F75" s="774">
        <v>0</v>
      </c>
      <c r="G75" s="774">
        <v>0</v>
      </c>
      <c r="H75" s="774">
        <v>0</v>
      </c>
      <c r="I75" s="774">
        <v>0</v>
      </c>
      <c r="J75" s="774">
        <v>0</v>
      </c>
      <c r="K75" s="141" t="s">
        <v>1651</v>
      </c>
    </row>
    <row r="76" spans="2:11" ht="13.5" x14ac:dyDescent="0.25">
      <c r="B76" s="1772" t="s">
        <v>128</v>
      </c>
      <c r="C76" s="774">
        <v>0</v>
      </c>
      <c r="D76" s="774">
        <v>0</v>
      </c>
      <c r="E76" s="774">
        <v>0</v>
      </c>
      <c r="F76" s="774">
        <v>0</v>
      </c>
      <c r="G76" s="774">
        <v>0</v>
      </c>
      <c r="H76" s="774">
        <v>0</v>
      </c>
      <c r="I76" s="774">
        <v>0</v>
      </c>
      <c r="J76" s="774">
        <v>0</v>
      </c>
      <c r="K76" s="141" t="s">
        <v>1652</v>
      </c>
    </row>
    <row r="77" spans="2:11" ht="13.5" x14ac:dyDescent="0.25">
      <c r="B77" s="1772" t="s">
        <v>100</v>
      </c>
      <c r="C77" s="774">
        <v>4063000</v>
      </c>
      <c r="D77" s="774">
        <v>14356000</v>
      </c>
      <c r="E77" s="774">
        <v>18970000</v>
      </c>
      <c r="F77" s="774">
        <v>23250000</v>
      </c>
      <c r="G77" s="774">
        <v>24008000</v>
      </c>
      <c r="H77" s="774">
        <v>19648000</v>
      </c>
      <c r="I77" s="774">
        <v>18154000</v>
      </c>
      <c r="J77" s="774">
        <v>13062000</v>
      </c>
      <c r="K77" s="141" t="s">
        <v>1653</v>
      </c>
    </row>
    <row r="78" spans="2:11" ht="13.5" x14ac:dyDescent="0.25">
      <c r="B78" s="1772" t="s">
        <v>12</v>
      </c>
      <c r="C78" s="774">
        <v>0</v>
      </c>
      <c r="D78" s="774">
        <v>0</v>
      </c>
      <c r="E78" s="774">
        <v>0</v>
      </c>
      <c r="F78" s="774">
        <v>0</v>
      </c>
      <c r="G78" s="774">
        <v>0</v>
      </c>
      <c r="H78" s="774">
        <v>0</v>
      </c>
      <c r="I78" s="774">
        <v>0</v>
      </c>
      <c r="J78" s="774">
        <v>0</v>
      </c>
      <c r="K78" s="141" t="s">
        <v>1654</v>
      </c>
    </row>
    <row r="79" spans="2:11" ht="13.5" x14ac:dyDescent="0.25">
      <c r="B79" s="1772" t="s">
        <v>129</v>
      </c>
      <c r="C79" s="774">
        <v>0</v>
      </c>
      <c r="D79" s="774">
        <v>0</v>
      </c>
      <c r="E79" s="774">
        <v>0</v>
      </c>
      <c r="F79" s="774">
        <v>0</v>
      </c>
      <c r="G79" s="774">
        <v>0</v>
      </c>
      <c r="H79" s="774">
        <v>0</v>
      </c>
      <c r="I79" s="774">
        <v>0</v>
      </c>
      <c r="J79" s="774">
        <v>0</v>
      </c>
      <c r="K79" s="141" t="s">
        <v>1655</v>
      </c>
    </row>
    <row r="80" spans="2:11" ht="13.5" x14ac:dyDescent="0.25">
      <c r="B80" s="1772" t="s">
        <v>130</v>
      </c>
      <c r="C80" s="774">
        <v>198294000</v>
      </c>
      <c r="D80" s="774">
        <v>204659000</v>
      </c>
      <c r="E80" s="774">
        <v>205160000</v>
      </c>
      <c r="F80" s="774">
        <v>232390000</v>
      </c>
      <c r="G80" s="774">
        <v>233377000</v>
      </c>
      <c r="H80" s="774">
        <v>258548000</v>
      </c>
      <c r="I80" s="774">
        <v>263992000</v>
      </c>
      <c r="J80" s="774">
        <v>334536000</v>
      </c>
      <c r="K80" s="141" t="s">
        <v>1656</v>
      </c>
    </row>
    <row r="81" spans="2:11" ht="13.5" x14ac:dyDescent="0.25">
      <c r="B81" s="1772" t="s">
        <v>131</v>
      </c>
      <c r="C81" s="774">
        <v>0</v>
      </c>
      <c r="D81" s="774">
        <v>0</v>
      </c>
      <c r="E81" s="774">
        <v>0</v>
      </c>
      <c r="F81" s="774">
        <v>0</v>
      </c>
      <c r="G81" s="774">
        <v>0</v>
      </c>
      <c r="H81" s="774">
        <v>135599000</v>
      </c>
      <c r="I81" s="774">
        <v>163623000</v>
      </c>
      <c r="J81" s="774">
        <v>156910000</v>
      </c>
      <c r="K81" s="141" t="s">
        <v>1657</v>
      </c>
    </row>
    <row r="82" spans="2:11" ht="13.5" x14ac:dyDescent="0.25">
      <c r="B82" s="1772" t="s">
        <v>101</v>
      </c>
      <c r="C82" s="774">
        <v>0</v>
      </c>
      <c r="D82" s="774">
        <v>0</v>
      </c>
      <c r="E82" s="774">
        <v>0</v>
      </c>
      <c r="F82" s="774">
        <v>0</v>
      </c>
      <c r="G82" s="774">
        <v>0</v>
      </c>
      <c r="H82" s="774">
        <v>0</v>
      </c>
      <c r="I82" s="774">
        <v>0</v>
      </c>
      <c r="J82" s="774">
        <v>0</v>
      </c>
      <c r="K82" s="141" t="s">
        <v>1658</v>
      </c>
    </row>
    <row r="83" spans="2:11" ht="13.5" x14ac:dyDescent="0.25">
      <c r="B83" s="1772" t="s">
        <v>13</v>
      </c>
      <c r="C83" s="774">
        <v>0</v>
      </c>
      <c r="D83" s="774">
        <v>0</v>
      </c>
      <c r="E83" s="774">
        <v>0</v>
      </c>
      <c r="F83" s="774">
        <v>0</v>
      </c>
      <c r="G83" s="774">
        <v>0</v>
      </c>
      <c r="H83" s="774">
        <v>0</v>
      </c>
      <c r="I83" s="774">
        <v>0</v>
      </c>
      <c r="J83" s="774">
        <v>0</v>
      </c>
      <c r="K83" s="141" t="s">
        <v>1659</v>
      </c>
    </row>
    <row r="84" spans="2:11" ht="13.5" x14ac:dyDescent="0.25">
      <c r="B84" s="1772" t="s">
        <v>102</v>
      </c>
      <c r="C84" s="774">
        <v>149499000</v>
      </c>
      <c r="D84" s="774">
        <v>169288000</v>
      </c>
      <c r="E84" s="774">
        <v>179908000</v>
      </c>
      <c r="F84" s="774">
        <v>212620000</v>
      </c>
      <c r="G84" s="774">
        <v>203503000</v>
      </c>
      <c r="H84" s="774">
        <v>239186000</v>
      </c>
      <c r="I84" s="774">
        <v>272240000</v>
      </c>
      <c r="J84" s="774">
        <v>284871000</v>
      </c>
      <c r="K84" s="141" t="s">
        <v>1660</v>
      </c>
    </row>
    <row r="85" spans="2:11" ht="13.5" x14ac:dyDescent="0.25">
      <c r="B85" s="1772" t="s">
        <v>176</v>
      </c>
      <c r="C85" s="774">
        <v>0</v>
      </c>
      <c r="D85" s="774">
        <v>0</v>
      </c>
      <c r="E85" s="774">
        <v>0</v>
      </c>
      <c r="F85" s="774">
        <v>0</v>
      </c>
      <c r="G85" s="774">
        <v>0</v>
      </c>
      <c r="H85" s="774">
        <v>0</v>
      </c>
      <c r="I85" s="774">
        <v>0</v>
      </c>
      <c r="J85" s="774">
        <v>0</v>
      </c>
      <c r="K85" s="141" t="s">
        <v>1661</v>
      </c>
    </row>
    <row r="86" spans="2:11" ht="13.5" x14ac:dyDescent="0.25">
      <c r="B86" s="1772" t="s">
        <v>67</v>
      </c>
      <c r="C86" s="774">
        <v>0</v>
      </c>
      <c r="D86" s="774">
        <v>0</v>
      </c>
      <c r="E86" s="774">
        <v>0</v>
      </c>
      <c r="F86" s="774">
        <v>0</v>
      </c>
      <c r="G86" s="774">
        <v>0</v>
      </c>
      <c r="H86" s="774">
        <v>0</v>
      </c>
      <c r="I86" s="774">
        <v>0</v>
      </c>
      <c r="J86" s="774">
        <v>0</v>
      </c>
      <c r="K86" s="141" t="s">
        <v>1662</v>
      </c>
    </row>
    <row r="87" spans="2:11" ht="13.5" x14ac:dyDescent="0.25">
      <c r="B87" s="1771" t="s">
        <v>14</v>
      </c>
      <c r="C87" s="773">
        <v>1866844000</v>
      </c>
      <c r="D87" s="773">
        <v>503492000</v>
      </c>
      <c r="E87" s="773">
        <v>1572036000</v>
      </c>
      <c r="F87" s="773">
        <v>2015492000</v>
      </c>
      <c r="G87" s="773">
        <v>2351156000</v>
      </c>
      <c r="H87" s="773">
        <v>3181017000</v>
      </c>
      <c r="I87" s="773">
        <v>3565504000</v>
      </c>
      <c r="J87" s="773">
        <v>3826374000</v>
      </c>
      <c r="K87" s="141" t="s">
        <v>1663</v>
      </c>
    </row>
    <row r="88" spans="2:11" ht="13.5" x14ac:dyDescent="0.25">
      <c r="B88" s="1772" t="s">
        <v>15</v>
      </c>
      <c r="C88" s="774">
        <v>0</v>
      </c>
      <c r="D88" s="774">
        <v>0</v>
      </c>
      <c r="E88" s="774">
        <v>0</v>
      </c>
      <c r="F88" s="774">
        <v>0</v>
      </c>
      <c r="G88" s="774">
        <v>0</v>
      </c>
      <c r="H88" s="774">
        <v>0</v>
      </c>
      <c r="I88" s="774">
        <v>0</v>
      </c>
      <c r="J88" s="774">
        <v>0</v>
      </c>
      <c r="K88" s="141" t="s">
        <v>1664</v>
      </c>
    </row>
    <row r="89" spans="2:11" ht="13.5" x14ac:dyDescent="0.25">
      <c r="B89" s="1772" t="s">
        <v>7</v>
      </c>
      <c r="C89" s="774">
        <v>1576603000</v>
      </c>
      <c r="D89" s="774">
        <v>188314000</v>
      </c>
      <c r="E89" s="774">
        <v>1218072000</v>
      </c>
      <c r="F89" s="774">
        <v>1528237000</v>
      </c>
      <c r="G89" s="774">
        <v>1859103000</v>
      </c>
      <c r="H89" s="774">
        <v>2581159000</v>
      </c>
      <c r="I89" s="774">
        <v>2964986000</v>
      </c>
      <c r="J89" s="774">
        <v>3268907000</v>
      </c>
      <c r="K89" s="141" t="s">
        <v>1665</v>
      </c>
    </row>
    <row r="90" spans="2:11" ht="13.5" x14ac:dyDescent="0.25">
      <c r="B90" s="1772" t="s">
        <v>64</v>
      </c>
      <c r="C90" s="774">
        <v>0</v>
      </c>
      <c r="D90" s="774">
        <v>0</v>
      </c>
      <c r="E90" s="774">
        <v>0</v>
      </c>
      <c r="F90" s="774">
        <v>0</v>
      </c>
      <c r="G90" s="774">
        <v>0</v>
      </c>
      <c r="H90" s="774">
        <v>0</v>
      </c>
      <c r="I90" s="774">
        <v>0</v>
      </c>
      <c r="J90" s="774">
        <v>0</v>
      </c>
      <c r="K90" s="141" t="s">
        <v>1666</v>
      </c>
    </row>
    <row r="91" spans="2:11" ht="13.5" x14ac:dyDescent="0.25">
      <c r="B91" s="1772" t="s">
        <v>126</v>
      </c>
      <c r="C91" s="774">
        <v>0</v>
      </c>
      <c r="D91" s="774">
        <v>0</v>
      </c>
      <c r="E91" s="774">
        <v>0</v>
      </c>
      <c r="F91" s="774">
        <v>0</v>
      </c>
      <c r="G91" s="774">
        <v>0</v>
      </c>
      <c r="H91" s="774">
        <v>0</v>
      </c>
      <c r="I91" s="774">
        <v>0</v>
      </c>
      <c r="J91" s="774">
        <v>0</v>
      </c>
      <c r="K91" s="141" t="s">
        <v>1667</v>
      </c>
    </row>
    <row r="92" spans="2:11" ht="13.5" x14ac:dyDescent="0.25">
      <c r="B92" s="1772" t="s">
        <v>10</v>
      </c>
      <c r="C92" s="774">
        <v>0</v>
      </c>
      <c r="D92" s="774">
        <v>0</v>
      </c>
      <c r="E92" s="774">
        <v>0</v>
      </c>
      <c r="F92" s="774">
        <v>0</v>
      </c>
      <c r="G92" s="774">
        <v>0</v>
      </c>
      <c r="H92" s="774">
        <v>0</v>
      </c>
      <c r="I92" s="774">
        <v>0</v>
      </c>
      <c r="J92" s="774">
        <v>0</v>
      </c>
      <c r="K92" s="141" t="s">
        <v>1668</v>
      </c>
    </row>
    <row r="93" spans="2:11" ht="13.5" x14ac:dyDescent="0.25">
      <c r="B93" s="1772" t="s">
        <v>132</v>
      </c>
      <c r="C93" s="774">
        <v>0</v>
      </c>
      <c r="D93" s="774">
        <v>0</v>
      </c>
      <c r="E93" s="774">
        <v>0</v>
      </c>
      <c r="F93" s="774">
        <v>0</v>
      </c>
      <c r="G93" s="774">
        <v>0</v>
      </c>
      <c r="H93" s="774">
        <v>0</v>
      </c>
      <c r="I93" s="774">
        <v>0</v>
      </c>
      <c r="J93" s="774">
        <v>0</v>
      </c>
      <c r="K93" s="141" t="s">
        <v>1669</v>
      </c>
    </row>
    <row r="94" spans="2:11" ht="13.5" x14ac:dyDescent="0.25">
      <c r="B94" s="1772" t="s">
        <v>98</v>
      </c>
      <c r="C94" s="774">
        <v>0</v>
      </c>
      <c r="D94" s="774">
        <v>0</v>
      </c>
      <c r="E94" s="774">
        <v>0</v>
      </c>
      <c r="F94" s="774">
        <v>0</v>
      </c>
      <c r="G94" s="774">
        <v>0</v>
      </c>
      <c r="H94" s="774">
        <v>0</v>
      </c>
      <c r="I94" s="774">
        <v>0</v>
      </c>
      <c r="J94" s="774">
        <v>0</v>
      </c>
      <c r="K94" s="141" t="s">
        <v>1670</v>
      </c>
    </row>
    <row r="95" spans="2:11" ht="13.5" x14ac:dyDescent="0.25">
      <c r="B95" s="1772" t="s">
        <v>11</v>
      </c>
      <c r="C95" s="774">
        <v>72955000</v>
      </c>
      <c r="D95" s="774">
        <v>67380000</v>
      </c>
      <c r="E95" s="774">
        <v>63681000</v>
      </c>
      <c r="F95" s="774">
        <v>0</v>
      </c>
      <c r="G95" s="774">
        <v>0</v>
      </c>
      <c r="H95" s="774">
        <v>0</v>
      </c>
      <c r="I95" s="774">
        <v>0</v>
      </c>
      <c r="J95" s="774">
        <v>0</v>
      </c>
      <c r="K95" s="141" t="s">
        <v>1671</v>
      </c>
    </row>
    <row r="96" spans="2:11" ht="13.5" x14ac:dyDescent="0.25">
      <c r="B96" s="1772" t="s">
        <v>175</v>
      </c>
      <c r="C96" s="774">
        <v>0</v>
      </c>
      <c r="D96" s="774">
        <v>0</v>
      </c>
      <c r="E96" s="774">
        <v>0</v>
      </c>
      <c r="F96" s="774">
        <v>70539000</v>
      </c>
      <c r="G96" s="774">
        <v>59540000</v>
      </c>
      <c r="H96" s="774">
        <v>0</v>
      </c>
      <c r="I96" s="774">
        <v>0</v>
      </c>
      <c r="J96" s="774">
        <v>0</v>
      </c>
      <c r="K96" s="141" t="s">
        <v>1672</v>
      </c>
    </row>
    <row r="97" spans="2:11" ht="13.5" x14ac:dyDescent="0.25">
      <c r="B97" s="1772" t="s">
        <v>65</v>
      </c>
      <c r="C97" s="774">
        <v>0</v>
      </c>
      <c r="D97" s="774">
        <v>0</v>
      </c>
      <c r="E97" s="774">
        <v>0</v>
      </c>
      <c r="F97" s="774">
        <v>0</v>
      </c>
      <c r="G97" s="774">
        <v>0</v>
      </c>
      <c r="H97" s="774">
        <v>0</v>
      </c>
      <c r="I97" s="774">
        <v>0</v>
      </c>
      <c r="J97" s="774">
        <v>0</v>
      </c>
      <c r="K97" s="141" t="s">
        <v>1673</v>
      </c>
    </row>
    <row r="98" spans="2:11" ht="13.5" x14ac:dyDescent="0.25">
      <c r="B98" s="1772" t="s">
        <v>99</v>
      </c>
      <c r="C98" s="774">
        <v>0</v>
      </c>
      <c r="D98" s="774">
        <v>0</v>
      </c>
      <c r="E98" s="774">
        <v>0</v>
      </c>
      <c r="F98" s="774">
        <v>0</v>
      </c>
      <c r="G98" s="774">
        <v>0</v>
      </c>
      <c r="H98" s="774">
        <v>62427000</v>
      </c>
      <c r="I98" s="774">
        <v>57823000</v>
      </c>
      <c r="J98" s="774">
        <v>60674000</v>
      </c>
      <c r="K98" s="141" t="s">
        <v>1674</v>
      </c>
    </row>
    <row r="99" spans="2:11" ht="13.5" x14ac:dyDescent="0.25">
      <c r="B99" s="1772" t="s">
        <v>12</v>
      </c>
      <c r="C99" s="774">
        <v>0</v>
      </c>
      <c r="D99" s="774">
        <v>0</v>
      </c>
      <c r="E99" s="774">
        <v>0</v>
      </c>
      <c r="F99" s="774">
        <v>0</v>
      </c>
      <c r="G99" s="774">
        <v>0</v>
      </c>
      <c r="H99" s="774">
        <v>0</v>
      </c>
      <c r="I99" s="774">
        <v>0</v>
      </c>
      <c r="J99" s="774">
        <v>0</v>
      </c>
      <c r="K99" s="141" t="s">
        <v>1675</v>
      </c>
    </row>
    <row r="100" spans="2:11" ht="13.5" x14ac:dyDescent="0.25">
      <c r="B100" s="1772" t="s">
        <v>66</v>
      </c>
      <c r="C100" s="774">
        <v>0</v>
      </c>
      <c r="D100" s="774">
        <v>0</v>
      </c>
      <c r="E100" s="774">
        <v>0</v>
      </c>
      <c r="F100" s="774">
        <v>0</v>
      </c>
      <c r="G100" s="774">
        <v>0</v>
      </c>
      <c r="H100" s="774">
        <v>0</v>
      </c>
      <c r="I100" s="774">
        <v>0</v>
      </c>
      <c r="J100" s="774">
        <v>0</v>
      </c>
      <c r="K100" s="141" t="s">
        <v>1676</v>
      </c>
    </row>
    <row r="101" spans="2:11" ht="13.5" x14ac:dyDescent="0.25">
      <c r="B101" s="1772" t="s">
        <v>130</v>
      </c>
      <c r="C101" s="774">
        <v>113414000</v>
      </c>
      <c r="D101" s="774">
        <v>146096000</v>
      </c>
      <c r="E101" s="774">
        <v>157836000</v>
      </c>
      <c r="F101" s="774">
        <v>188301000</v>
      </c>
      <c r="G101" s="774">
        <v>194402000</v>
      </c>
      <c r="H101" s="774">
        <v>220868000</v>
      </c>
      <c r="I101" s="774">
        <v>268671000</v>
      </c>
      <c r="J101" s="774">
        <v>318522000</v>
      </c>
      <c r="K101" s="141" t="s">
        <v>1677</v>
      </c>
    </row>
    <row r="102" spans="2:11" ht="13.5" x14ac:dyDescent="0.25">
      <c r="B102" s="1772" t="s">
        <v>16</v>
      </c>
      <c r="C102" s="774">
        <v>0</v>
      </c>
      <c r="D102" s="774">
        <v>0</v>
      </c>
      <c r="E102" s="774">
        <v>0</v>
      </c>
      <c r="F102" s="774">
        <v>0</v>
      </c>
      <c r="G102" s="774">
        <v>0</v>
      </c>
      <c r="H102" s="774">
        <v>51180000</v>
      </c>
      <c r="I102" s="774">
        <v>0</v>
      </c>
      <c r="J102" s="774">
        <v>0</v>
      </c>
      <c r="K102" s="141" t="s">
        <v>1678</v>
      </c>
    </row>
    <row r="103" spans="2:11" ht="13.5" x14ac:dyDescent="0.25">
      <c r="B103" s="1772" t="s">
        <v>101</v>
      </c>
      <c r="C103" s="774">
        <v>91471000</v>
      </c>
      <c r="D103" s="774">
        <v>95201000</v>
      </c>
      <c r="E103" s="774">
        <v>128549000</v>
      </c>
      <c r="F103" s="774">
        <v>226142000</v>
      </c>
      <c r="G103" s="774">
        <v>236406000</v>
      </c>
      <c r="H103" s="774">
        <v>245515000</v>
      </c>
      <c r="I103" s="774">
        <v>245422000</v>
      </c>
      <c r="J103" s="774">
        <v>149635000</v>
      </c>
      <c r="K103" s="141" t="s">
        <v>1679</v>
      </c>
    </row>
    <row r="104" spans="2:11" ht="13.5" x14ac:dyDescent="0.25">
      <c r="B104" s="1772" t="s">
        <v>128</v>
      </c>
      <c r="C104" s="774">
        <v>0</v>
      </c>
      <c r="D104" s="774">
        <v>0</v>
      </c>
      <c r="E104" s="774">
        <v>0</v>
      </c>
      <c r="F104" s="774">
        <v>0</v>
      </c>
      <c r="G104" s="774">
        <v>0</v>
      </c>
      <c r="H104" s="774">
        <v>0</v>
      </c>
      <c r="I104" s="774">
        <v>0</v>
      </c>
      <c r="J104" s="774">
        <v>0</v>
      </c>
      <c r="K104" s="141" t="s">
        <v>1680</v>
      </c>
    </row>
    <row r="105" spans="2:11" ht="13.5" x14ac:dyDescent="0.25">
      <c r="B105" s="1772" t="s">
        <v>129</v>
      </c>
      <c r="C105" s="774">
        <v>0</v>
      </c>
      <c r="D105" s="774">
        <v>0</v>
      </c>
      <c r="E105" s="774">
        <v>0</v>
      </c>
      <c r="F105" s="774">
        <v>0</v>
      </c>
      <c r="G105" s="774">
        <v>0</v>
      </c>
      <c r="H105" s="774">
        <v>0</v>
      </c>
      <c r="I105" s="774">
        <v>0</v>
      </c>
      <c r="J105" s="774">
        <v>0</v>
      </c>
      <c r="K105" s="141" t="s">
        <v>1681</v>
      </c>
    </row>
    <row r="106" spans="2:11" ht="13.5" x14ac:dyDescent="0.25">
      <c r="B106" s="1772" t="s">
        <v>124</v>
      </c>
      <c r="C106" s="774">
        <v>0</v>
      </c>
      <c r="D106" s="774">
        <v>0</v>
      </c>
      <c r="E106" s="774">
        <v>0</v>
      </c>
      <c r="F106" s="774">
        <v>0</v>
      </c>
      <c r="G106" s="774">
        <v>0</v>
      </c>
      <c r="H106" s="774">
        <v>0</v>
      </c>
      <c r="I106" s="774">
        <v>0</v>
      </c>
      <c r="J106" s="774">
        <v>0</v>
      </c>
      <c r="K106" s="141" t="s">
        <v>1682</v>
      </c>
    </row>
    <row r="107" spans="2:11" ht="13.5" x14ac:dyDescent="0.25">
      <c r="B107" s="1772" t="s">
        <v>103</v>
      </c>
      <c r="C107" s="774">
        <v>12401000</v>
      </c>
      <c r="D107" s="774">
        <v>6501000</v>
      </c>
      <c r="E107" s="774">
        <v>3898000</v>
      </c>
      <c r="F107" s="774">
        <v>2273000</v>
      </c>
      <c r="G107" s="774">
        <v>1705000</v>
      </c>
      <c r="H107" s="774">
        <v>19868000</v>
      </c>
      <c r="I107" s="774">
        <v>28602000</v>
      </c>
      <c r="J107" s="774">
        <v>28636000</v>
      </c>
      <c r="K107" s="141" t="s">
        <v>1683</v>
      </c>
    </row>
    <row r="108" spans="2:11" ht="13.5" x14ac:dyDescent="0.25">
      <c r="B108" s="1772" t="s">
        <v>177</v>
      </c>
      <c r="C108" s="774">
        <v>0</v>
      </c>
      <c r="D108" s="774">
        <v>0</v>
      </c>
      <c r="E108" s="774">
        <v>0</v>
      </c>
      <c r="F108" s="774">
        <v>0</v>
      </c>
      <c r="G108" s="774">
        <v>0</v>
      </c>
      <c r="H108" s="774">
        <v>0</v>
      </c>
      <c r="I108" s="774">
        <v>0</v>
      </c>
      <c r="J108" s="774">
        <v>0</v>
      </c>
      <c r="K108" s="141" t="s">
        <v>1684</v>
      </c>
    </row>
    <row r="109" spans="2:11" ht="13.5" x14ac:dyDescent="0.25">
      <c r="B109" s="1771" t="s">
        <v>68</v>
      </c>
      <c r="C109" s="773">
        <v>2001329000</v>
      </c>
      <c r="D109" s="773">
        <v>2743503000</v>
      </c>
      <c r="E109" s="773">
        <v>3407734000</v>
      </c>
      <c r="F109" s="773">
        <v>3651641000</v>
      </c>
      <c r="G109" s="773">
        <v>3927235000</v>
      </c>
      <c r="H109" s="773">
        <v>4138756000</v>
      </c>
      <c r="I109" s="773">
        <v>4398698000</v>
      </c>
      <c r="J109" s="773">
        <v>4675837000</v>
      </c>
      <c r="K109" s="141" t="s">
        <v>1685</v>
      </c>
    </row>
    <row r="110" spans="2:11" ht="13.5" x14ac:dyDescent="0.25">
      <c r="B110" s="1771" t="s">
        <v>133</v>
      </c>
      <c r="C110" s="773">
        <v>63265000</v>
      </c>
      <c r="D110" s="773">
        <v>43382000</v>
      </c>
      <c r="E110" s="773">
        <v>66182000</v>
      </c>
      <c r="F110" s="773">
        <v>106049000</v>
      </c>
      <c r="G110" s="773">
        <v>85583000</v>
      </c>
      <c r="H110" s="773">
        <v>75906000</v>
      </c>
      <c r="I110" s="773">
        <v>43073000</v>
      </c>
      <c r="J110" s="773">
        <v>18826000</v>
      </c>
      <c r="K110" s="141" t="s">
        <v>1686</v>
      </c>
    </row>
    <row r="111" spans="2:11" ht="13.5" x14ac:dyDescent="0.25">
      <c r="B111" s="1772" t="s">
        <v>17</v>
      </c>
      <c r="C111" s="774">
        <v>0</v>
      </c>
      <c r="D111" s="774">
        <v>0</v>
      </c>
      <c r="E111" s="774">
        <v>0</v>
      </c>
      <c r="F111" s="774">
        <v>0</v>
      </c>
      <c r="G111" s="774">
        <v>0</v>
      </c>
      <c r="H111" s="774">
        <v>0</v>
      </c>
      <c r="I111" s="774">
        <v>0</v>
      </c>
      <c r="J111" s="774">
        <v>0</v>
      </c>
      <c r="K111" s="141" t="s">
        <v>1687</v>
      </c>
    </row>
    <row r="112" spans="2:11" ht="13.5" x14ac:dyDescent="0.25">
      <c r="B112" s="1772" t="s">
        <v>104</v>
      </c>
      <c r="C112" s="774">
        <v>0</v>
      </c>
      <c r="D112" s="774">
        <v>0</v>
      </c>
      <c r="E112" s="774">
        <v>0</v>
      </c>
      <c r="F112" s="774">
        <v>0</v>
      </c>
      <c r="G112" s="774">
        <v>0</v>
      </c>
      <c r="H112" s="774">
        <v>0</v>
      </c>
      <c r="I112" s="774">
        <v>0</v>
      </c>
      <c r="J112" s="774">
        <v>0</v>
      </c>
      <c r="K112" s="141" t="s">
        <v>1688</v>
      </c>
    </row>
    <row r="113" spans="2:12" s="3" customFormat="1" ht="13.5" x14ac:dyDescent="0.25">
      <c r="B113" s="1771" t="s">
        <v>105</v>
      </c>
      <c r="C113" s="226">
        <v>1938064000</v>
      </c>
      <c r="D113" s="226">
        <v>2700121000</v>
      </c>
      <c r="E113" s="226">
        <v>3341552000</v>
      </c>
      <c r="F113" s="226">
        <v>3545592000</v>
      </c>
      <c r="G113" s="226">
        <v>3841652000</v>
      </c>
      <c r="H113" s="226">
        <v>4062850000</v>
      </c>
      <c r="I113" s="226">
        <v>4355625000</v>
      </c>
      <c r="J113" s="226">
        <v>4657011000</v>
      </c>
      <c r="K113" s="141" t="s">
        <v>1689</v>
      </c>
      <c r="L113" s="775"/>
    </row>
    <row r="114" spans="2:12" ht="13.5" x14ac:dyDescent="0.25">
      <c r="B114" s="1772" t="s">
        <v>18</v>
      </c>
      <c r="C114" s="774">
        <v>399960000</v>
      </c>
      <c r="D114" s="774">
        <v>675728000</v>
      </c>
      <c r="E114" s="774">
        <v>675728000</v>
      </c>
      <c r="F114" s="774">
        <v>675728000</v>
      </c>
      <c r="G114" s="774">
        <v>675728000</v>
      </c>
      <c r="H114" s="774">
        <v>675728000</v>
      </c>
      <c r="I114" s="774">
        <v>675728000</v>
      </c>
      <c r="J114" s="774">
        <v>675728000</v>
      </c>
      <c r="K114" s="141" t="s">
        <v>1690</v>
      </c>
    </row>
    <row r="115" spans="2:12" ht="13.5" x14ac:dyDescent="0.25">
      <c r="B115" s="1772" t="s">
        <v>19</v>
      </c>
      <c r="C115" s="774">
        <v>0</v>
      </c>
      <c r="D115" s="774">
        <v>0</v>
      </c>
      <c r="E115" s="774">
        <v>0</v>
      </c>
      <c r="F115" s="774">
        <v>0</v>
      </c>
      <c r="G115" s="774">
        <v>0</v>
      </c>
      <c r="H115" s="774">
        <v>0</v>
      </c>
      <c r="I115" s="774">
        <v>0</v>
      </c>
      <c r="J115" s="774">
        <v>0</v>
      </c>
      <c r="K115" s="141" t="s">
        <v>1691</v>
      </c>
    </row>
    <row r="116" spans="2:12" ht="13.5" x14ac:dyDescent="0.25">
      <c r="B116" s="1772" t="s">
        <v>134</v>
      </c>
      <c r="C116" s="774">
        <v>0</v>
      </c>
      <c r="D116" s="774">
        <v>0</v>
      </c>
      <c r="E116" s="774">
        <v>0</v>
      </c>
      <c r="F116" s="774">
        <v>0</v>
      </c>
      <c r="G116" s="774">
        <v>0</v>
      </c>
      <c r="H116" s="774">
        <v>0</v>
      </c>
      <c r="I116" s="774">
        <v>0</v>
      </c>
      <c r="J116" s="774">
        <v>0</v>
      </c>
      <c r="K116" s="141" t="s">
        <v>1692</v>
      </c>
    </row>
    <row r="117" spans="2:12" ht="13.5" x14ac:dyDescent="0.25">
      <c r="B117" s="1772" t="s">
        <v>178</v>
      </c>
      <c r="C117" s="774">
        <v>0</v>
      </c>
      <c r="D117" s="774">
        <v>0</v>
      </c>
      <c r="E117" s="774">
        <v>0</v>
      </c>
      <c r="F117" s="774">
        <v>0</v>
      </c>
      <c r="G117" s="774">
        <v>0</v>
      </c>
      <c r="H117" s="774">
        <v>0</v>
      </c>
      <c r="I117" s="774">
        <v>0</v>
      </c>
      <c r="J117" s="774">
        <v>0</v>
      </c>
      <c r="K117" s="141" t="s">
        <v>1693</v>
      </c>
    </row>
    <row r="118" spans="2:12" ht="13.5" x14ac:dyDescent="0.25">
      <c r="B118" s="1772" t="s">
        <v>20</v>
      </c>
      <c r="C118" s="774">
        <v>287998000</v>
      </c>
      <c r="D118" s="774">
        <v>284447000</v>
      </c>
      <c r="E118" s="774">
        <v>889000</v>
      </c>
      <c r="F118" s="774">
        <v>889000</v>
      </c>
      <c r="G118" s="774">
        <v>889000</v>
      </c>
      <c r="H118" s="774">
        <v>889000</v>
      </c>
      <c r="I118" s="774">
        <v>889000</v>
      </c>
      <c r="J118" s="774">
        <v>889000</v>
      </c>
      <c r="K118" s="141" t="s">
        <v>1694</v>
      </c>
    </row>
    <row r="119" spans="2:12" ht="13.5" x14ac:dyDescent="0.25">
      <c r="B119" s="1772" t="s">
        <v>21</v>
      </c>
      <c r="C119" s="774">
        <v>0</v>
      </c>
      <c r="D119" s="774">
        <v>0</v>
      </c>
      <c r="E119" s="774">
        <v>0</v>
      </c>
      <c r="F119" s="774">
        <v>0</v>
      </c>
      <c r="G119" s="774">
        <v>0</v>
      </c>
      <c r="H119" s="774">
        <v>0</v>
      </c>
      <c r="I119" s="774">
        <v>0</v>
      </c>
      <c r="J119" s="774">
        <v>0</v>
      </c>
      <c r="K119" s="141" t="s">
        <v>1695</v>
      </c>
    </row>
    <row r="120" spans="2:12" ht="13.5" x14ac:dyDescent="0.25">
      <c r="B120" s="1772" t="s">
        <v>69</v>
      </c>
      <c r="C120" s="774">
        <v>0</v>
      </c>
      <c r="D120" s="774">
        <v>0</v>
      </c>
      <c r="E120" s="774">
        <v>0</v>
      </c>
      <c r="F120" s="774">
        <v>0</v>
      </c>
      <c r="G120" s="774">
        <v>0</v>
      </c>
      <c r="H120" s="774">
        <v>0</v>
      </c>
      <c r="I120" s="774">
        <v>0</v>
      </c>
      <c r="J120" s="774">
        <v>0</v>
      </c>
      <c r="K120" s="141" t="s">
        <v>1696</v>
      </c>
    </row>
    <row r="121" spans="2:12" ht="13.5" x14ac:dyDescent="0.25">
      <c r="B121" s="1772" t="s">
        <v>135</v>
      </c>
      <c r="C121" s="774">
        <v>0</v>
      </c>
      <c r="D121" s="774">
        <v>0</v>
      </c>
      <c r="E121" s="774">
        <v>0</v>
      </c>
      <c r="F121" s="774">
        <v>0</v>
      </c>
      <c r="G121" s="774">
        <v>0</v>
      </c>
      <c r="H121" s="774">
        <v>0</v>
      </c>
      <c r="I121" s="774">
        <v>0</v>
      </c>
      <c r="J121" s="774">
        <v>0</v>
      </c>
      <c r="K121" s="141" t="s">
        <v>1697</v>
      </c>
    </row>
    <row r="122" spans="2:12" ht="13.5" x14ac:dyDescent="0.25">
      <c r="B122" s="1772" t="s">
        <v>22</v>
      </c>
      <c r="C122" s="774">
        <v>0</v>
      </c>
      <c r="D122" s="774">
        <v>0</v>
      </c>
      <c r="E122" s="774">
        <v>0</v>
      </c>
      <c r="F122" s="774">
        <v>0</v>
      </c>
      <c r="G122" s="774">
        <v>0</v>
      </c>
      <c r="H122" s="774">
        <v>0</v>
      </c>
      <c r="I122" s="774">
        <v>0</v>
      </c>
      <c r="J122" s="774">
        <v>0</v>
      </c>
      <c r="K122" s="141" t="s">
        <v>1698</v>
      </c>
    </row>
    <row r="123" spans="2:12" ht="13.5" x14ac:dyDescent="0.25">
      <c r="B123" s="1772" t="s">
        <v>136</v>
      </c>
      <c r="C123" s="774">
        <v>0</v>
      </c>
      <c r="D123" s="774">
        <v>0</v>
      </c>
      <c r="E123" s="774">
        <v>511969000</v>
      </c>
      <c r="F123" s="774">
        <v>341505000</v>
      </c>
      <c r="G123" s="774">
        <v>470285000</v>
      </c>
      <c r="H123" s="774">
        <v>444203000</v>
      </c>
      <c r="I123" s="774">
        <v>592790000</v>
      </c>
      <c r="J123" s="774">
        <v>449948000</v>
      </c>
      <c r="K123" s="141" t="s">
        <v>1699</v>
      </c>
    </row>
    <row r="124" spans="2:12" ht="13.5" x14ac:dyDescent="0.25">
      <c r="B124" s="1772" t="s">
        <v>23</v>
      </c>
      <c r="C124" s="774">
        <v>0</v>
      </c>
      <c r="D124" s="774">
        <v>0</v>
      </c>
      <c r="E124" s="774">
        <v>0</v>
      </c>
      <c r="F124" s="774">
        <v>0</v>
      </c>
      <c r="G124" s="774">
        <v>0</v>
      </c>
      <c r="H124" s="774">
        <v>-210355000</v>
      </c>
      <c r="I124" s="774">
        <v>-215930000</v>
      </c>
      <c r="J124" s="774">
        <v>-257757000</v>
      </c>
      <c r="K124" s="141" t="s">
        <v>1700</v>
      </c>
    </row>
    <row r="125" spans="2:12" ht="13.5" x14ac:dyDescent="0.25">
      <c r="B125" s="1772" t="s">
        <v>137</v>
      </c>
      <c r="C125" s="774">
        <v>0</v>
      </c>
      <c r="D125" s="774">
        <v>0</v>
      </c>
      <c r="E125" s="774">
        <v>0</v>
      </c>
      <c r="F125" s="774">
        <v>0</v>
      </c>
      <c r="G125" s="774">
        <v>0</v>
      </c>
      <c r="H125" s="774">
        <v>0</v>
      </c>
      <c r="I125" s="774">
        <v>0</v>
      </c>
      <c r="J125" s="774">
        <v>0</v>
      </c>
      <c r="K125" s="141" t="s">
        <v>1798</v>
      </c>
    </row>
    <row r="126" spans="2:12" ht="13.5" x14ac:dyDescent="0.25">
      <c r="B126" s="1772" t="s">
        <v>70</v>
      </c>
      <c r="C126" s="774">
        <v>0</v>
      </c>
      <c r="D126" s="774">
        <v>0</v>
      </c>
      <c r="E126" s="774">
        <v>0</v>
      </c>
      <c r="F126" s="774">
        <v>0</v>
      </c>
      <c r="G126" s="774">
        <v>0</v>
      </c>
      <c r="H126" s="774">
        <v>0</v>
      </c>
      <c r="I126" s="774">
        <v>0</v>
      </c>
      <c r="J126" s="774">
        <v>0</v>
      </c>
      <c r="K126" s="141" t="s">
        <v>1701</v>
      </c>
    </row>
    <row r="127" spans="2:12" ht="13.5" x14ac:dyDescent="0.25">
      <c r="B127" s="1772" t="s">
        <v>138</v>
      </c>
      <c r="C127" s="774">
        <v>0</v>
      </c>
      <c r="D127" s="774">
        <v>0</v>
      </c>
      <c r="E127" s="774">
        <v>0</v>
      </c>
      <c r="F127" s="774">
        <v>0</v>
      </c>
      <c r="G127" s="774">
        <v>0</v>
      </c>
      <c r="H127" s="774">
        <v>0</v>
      </c>
      <c r="I127" s="774">
        <v>0</v>
      </c>
      <c r="J127" s="774">
        <v>0</v>
      </c>
      <c r="K127" s="141" t="s">
        <v>1702</v>
      </c>
    </row>
    <row r="128" spans="2:12" ht="13.5" x14ac:dyDescent="0.25">
      <c r="B128" s="1772" t="s">
        <v>139</v>
      </c>
      <c r="C128" s="774">
        <v>0</v>
      </c>
      <c r="D128" s="774">
        <v>0</v>
      </c>
      <c r="E128" s="774">
        <v>0</v>
      </c>
      <c r="F128" s="774">
        <v>0</v>
      </c>
      <c r="G128" s="774">
        <v>0</v>
      </c>
      <c r="H128" s="774">
        <v>0</v>
      </c>
      <c r="I128" s="774">
        <v>0</v>
      </c>
      <c r="J128" s="774">
        <v>0</v>
      </c>
      <c r="K128" s="141" t="s">
        <v>1703</v>
      </c>
    </row>
    <row r="129" spans="2:11" ht="13.5" x14ac:dyDescent="0.25">
      <c r="B129" s="1772" t="s">
        <v>140</v>
      </c>
      <c r="C129" s="774">
        <v>0</v>
      </c>
      <c r="D129" s="774">
        <v>0</v>
      </c>
      <c r="E129" s="774">
        <v>0</v>
      </c>
      <c r="F129" s="774">
        <v>0</v>
      </c>
      <c r="G129" s="774">
        <v>0</v>
      </c>
      <c r="H129" s="774">
        <v>0</v>
      </c>
      <c r="I129" s="774">
        <v>0</v>
      </c>
      <c r="J129" s="774">
        <v>0</v>
      </c>
      <c r="K129" s="141" t="s">
        <v>1704</v>
      </c>
    </row>
    <row r="130" spans="2:11" ht="13.5" x14ac:dyDescent="0.25">
      <c r="B130" s="1772" t="s">
        <v>71</v>
      </c>
      <c r="C130" s="774">
        <v>39794000</v>
      </c>
      <c r="D130" s="774">
        <v>485410000</v>
      </c>
      <c r="E130" s="774">
        <v>517093000</v>
      </c>
      <c r="F130" s="774">
        <v>506506000</v>
      </c>
      <c r="G130" s="774">
        <v>524764000</v>
      </c>
      <c r="H130" s="774">
        <v>597845000</v>
      </c>
      <c r="I130" s="774">
        <v>617084000</v>
      </c>
      <c r="J130" s="774">
        <v>891141000</v>
      </c>
      <c r="K130" s="141" t="s">
        <v>1705</v>
      </c>
    </row>
    <row r="131" spans="2:11" ht="13.5" x14ac:dyDescent="0.25">
      <c r="B131" s="1772" t="s">
        <v>72</v>
      </c>
      <c r="C131" s="774">
        <v>0</v>
      </c>
      <c r="D131" s="774">
        <v>0</v>
      </c>
      <c r="E131" s="774">
        <v>0</v>
      </c>
      <c r="F131" s="774">
        <v>0</v>
      </c>
      <c r="G131" s="774">
        <v>0</v>
      </c>
      <c r="H131" s="774">
        <v>0</v>
      </c>
      <c r="I131" s="774">
        <v>0</v>
      </c>
      <c r="J131" s="774">
        <v>0</v>
      </c>
      <c r="K131" s="141" t="s">
        <v>1706</v>
      </c>
    </row>
    <row r="132" spans="2:11" ht="13.5" x14ac:dyDescent="0.25">
      <c r="B132" s="1772" t="s">
        <v>141</v>
      </c>
      <c r="C132" s="774">
        <v>542917000</v>
      </c>
      <c r="D132" s="774">
        <v>574257000</v>
      </c>
      <c r="E132" s="774">
        <v>954525000</v>
      </c>
      <c r="F132" s="774">
        <v>1201658000</v>
      </c>
      <c r="G132" s="774">
        <v>1383191000</v>
      </c>
      <c r="H132" s="774">
        <v>1521038000</v>
      </c>
      <c r="I132" s="774">
        <v>1792299000</v>
      </c>
      <c r="J132" s="774">
        <v>1839690000</v>
      </c>
      <c r="K132" s="141" t="s">
        <v>1707</v>
      </c>
    </row>
    <row r="133" spans="2:11" ht="13.5" x14ac:dyDescent="0.25">
      <c r="B133" s="1772" t="s">
        <v>73</v>
      </c>
      <c r="C133" s="774">
        <v>0</v>
      </c>
      <c r="D133" s="774">
        <v>0</v>
      </c>
      <c r="E133" s="774">
        <v>0</v>
      </c>
      <c r="F133" s="774">
        <v>0</v>
      </c>
      <c r="G133" s="774">
        <v>0</v>
      </c>
      <c r="H133" s="774">
        <v>0</v>
      </c>
      <c r="I133" s="774">
        <v>0</v>
      </c>
      <c r="J133" s="774">
        <v>0</v>
      </c>
      <c r="K133" s="141" t="s">
        <v>1708</v>
      </c>
    </row>
    <row r="134" spans="2:11" ht="13.5" x14ac:dyDescent="0.25">
      <c r="B134" s="1772" t="s">
        <v>142</v>
      </c>
      <c r="C134" s="774">
        <v>0</v>
      </c>
      <c r="D134" s="774">
        <v>0</v>
      </c>
      <c r="E134" s="774">
        <v>0</v>
      </c>
      <c r="F134" s="774">
        <v>0</v>
      </c>
      <c r="G134" s="774">
        <v>0</v>
      </c>
      <c r="H134" s="774">
        <v>0</v>
      </c>
      <c r="I134" s="774">
        <v>0</v>
      </c>
      <c r="J134" s="774">
        <v>0</v>
      </c>
      <c r="K134" s="141" t="s">
        <v>1709</v>
      </c>
    </row>
    <row r="135" spans="2:11" ht="13.5" x14ac:dyDescent="0.25">
      <c r="B135" s="1772" t="s">
        <v>74</v>
      </c>
      <c r="C135" s="774">
        <v>40800000</v>
      </c>
      <c r="D135" s="774">
        <v>35137000</v>
      </c>
      <c r="E135" s="774">
        <v>29585000</v>
      </c>
      <c r="F135" s="774">
        <v>145922000</v>
      </c>
      <c r="G135" s="774">
        <v>86790000</v>
      </c>
      <c r="H135" s="774">
        <v>308266000</v>
      </c>
      <c r="I135" s="774">
        <v>178569000</v>
      </c>
      <c r="J135" s="774">
        <v>324618000</v>
      </c>
      <c r="K135" s="141" t="s">
        <v>1710</v>
      </c>
    </row>
    <row r="136" spans="2:11" ht="13.5" x14ac:dyDescent="0.25">
      <c r="B136" s="1772" t="s">
        <v>143</v>
      </c>
      <c r="C136" s="774">
        <v>157784000</v>
      </c>
      <c r="D136" s="774">
        <v>161824000</v>
      </c>
      <c r="E136" s="774">
        <v>168445000</v>
      </c>
      <c r="F136" s="774">
        <v>190066000</v>
      </c>
      <c r="G136" s="774">
        <v>216687000</v>
      </c>
      <c r="H136" s="774">
        <v>248809000</v>
      </c>
      <c r="I136" s="774">
        <v>275430000</v>
      </c>
      <c r="J136" s="774">
        <v>307051000</v>
      </c>
      <c r="K136" s="141" t="s">
        <v>1711</v>
      </c>
    </row>
    <row r="137" spans="2:11" ht="13.5" x14ac:dyDescent="0.25">
      <c r="B137" s="1772" t="s">
        <v>144</v>
      </c>
      <c r="C137" s="774">
        <v>0</v>
      </c>
      <c r="D137" s="774">
        <v>0</v>
      </c>
      <c r="E137" s="774">
        <v>0</v>
      </c>
      <c r="F137" s="774">
        <v>0</v>
      </c>
      <c r="G137" s="774">
        <v>0</v>
      </c>
      <c r="H137" s="774">
        <v>0</v>
      </c>
      <c r="I137" s="774">
        <v>0</v>
      </c>
      <c r="J137" s="774">
        <v>0</v>
      </c>
      <c r="K137" s="141" t="s">
        <v>1711</v>
      </c>
    </row>
    <row r="138" spans="2:11" ht="13.5" x14ac:dyDescent="0.25">
      <c r="B138" s="1772" t="s">
        <v>24</v>
      </c>
      <c r="C138" s="774">
        <v>0</v>
      </c>
      <c r="D138" s="774">
        <v>0</v>
      </c>
      <c r="E138" s="774">
        <v>0</v>
      </c>
      <c r="F138" s="774">
        <v>0</v>
      </c>
      <c r="G138" s="774">
        <v>0</v>
      </c>
      <c r="H138" s="774">
        <v>0</v>
      </c>
      <c r="I138" s="774">
        <v>0</v>
      </c>
      <c r="J138" s="774">
        <v>0</v>
      </c>
      <c r="K138" s="141" t="s">
        <v>1712</v>
      </c>
    </row>
    <row r="139" spans="2:11" ht="13.5" x14ac:dyDescent="0.25">
      <c r="B139" s="1772" t="s">
        <v>75</v>
      </c>
      <c r="C139" s="774">
        <v>468811000</v>
      </c>
      <c r="D139" s="774">
        <v>468811000</v>
      </c>
      <c r="E139" s="774">
        <v>468811000</v>
      </c>
      <c r="F139" s="774">
        <v>468811000</v>
      </c>
      <c r="G139" s="774">
        <v>468811000</v>
      </c>
      <c r="H139" s="774">
        <v>468811000</v>
      </c>
      <c r="I139" s="774">
        <v>468811000</v>
      </c>
      <c r="J139" s="774">
        <v>468811000</v>
      </c>
      <c r="K139" s="141" t="s">
        <v>1713</v>
      </c>
    </row>
    <row r="140" spans="2:11" ht="13.5" x14ac:dyDescent="0.25">
      <c r="B140" s="1772" t="s">
        <v>145</v>
      </c>
      <c r="C140" s="774">
        <v>0</v>
      </c>
      <c r="D140" s="774">
        <v>0</v>
      </c>
      <c r="E140" s="774">
        <v>0</v>
      </c>
      <c r="F140" s="774">
        <v>0</v>
      </c>
      <c r="G140" s="774">
        <v>0</v>
      </c>
      <c r="H140" s="774">
        <v>0</v>
      </c>
      <c r="I140" s="774">
        <v>0</v>
      </c>
      <c r="J140" s="774">
        <v>0</v>
      </c>
      <c r="K140" s="141" t="s">
        <v>1714</v>
      </c>
    </row>
    <row r="141" spans="2:11" ht="13.5" x14ac:dyDescent="0.25">
      <c r="B141" s="1772" t="s">
        <v>179</v>
      </c>
      <c r="C141" s="774">
        <v>0</v>
      </c>
      <c r="D141" s="774">
        <v>14507000</v>
      </c>
      <c r="E141" s="774">
        <v>14507000</v>
      </c>
      <c r="F141" s="774">
        <v>14507000</v>
      </c>
      <c r="G141" s="774">
        <v>14507000</v>
      </c>
      <c r="H141" s="774">
        <v>14507000</v>
      </c>
      <c r="I141" s="774">
        <v>14507000</v>
      </c>
      <c r="J141" s="774">
        <v>14507000</v>
      </c>
      <c r="K141" s="141" t="s">
        <v>1715</v>
      </c>
    </row>
    <row r="142" spans="2:11" ht="13.5" x14ac:dyDescent="0.25">
      <c r="B142" s="1772" t="s">
        <v>146</v>
      </c>
      <c r="C142" s="774">
        <v>0</v>
      </c>
      <c r="D142" s="774">
        <v>0</v>
      </c>
      <c r="E142" s="774">
        <v>0</v>
      </c>
      <c r="F142" s="774">
        <v>0</v>
      </c>
      <c r="G142" s="774">
        <v>0</v>
      </c>
      <c r="H142" s="774">
        <v>0</v>
      </c>
      <c r="I142" s="774">
        <v>0</v>
      </c>
      <c r="J142" s="774">
        <v>0</v>
      </c>
      <c r="K142" s="141" t="s">
        <v>1716</v>
      </c>
    </row>
    <row r="143" spans="2:11" ht="13.5" x14ac:dyDescent="0.25">
      <c r="B143" s="1772" t="s">
        <v>147</v>
      </c>
      <c r="C143" s="774">
        <v>0</v>
      </c>
      <c r="D143" s="774">
        <v>0</v>
      </c>
      <c r="E143" s="774">
        <v>0</v>
      </c>
      <c r="F143" s="774">
        <v>0</v>
      </c>
      <c r="G143" s="774">
        <v>0</v>
      </c>
      <c r="H143" s="774">
        <v>0</v>
      </c>
      <c r="I143" s="774">
        <v>0</v>
      </c>
      <c r="J143" s="774">
        <v>0</v>
      </c>
      <c r="K143" s="141" t="s">
        <v>1717</v>
      </c>
    </row>
    <row r="144" spans="2:11" ht="13.5" x14ac:dyDescent="0.25">
      <c r="B144" s="1772" t="s">
        <v>148</v>
      </c>
      <c r="C144" s="774">
        <v>0</v>
      </c>
      <c r="D144" s="774">
        <v>0</v>
      </c>
      <c r="E144" s="774">
        <v>0</v>
      </c>
      <c r="F144" s="774">
        <v>0</v>
      </c>
      <c r="G144" s="774">
        <v>0</v>
      </c>
      <c r="H144" s="774">
        <v>0</v>
      </c>
      <c r="I144" s="774">
        <v>0</v>
      </c>
      <c r="J144" s="774">
        <v>0</v>
      </c>
      <c r="K144" s="141" t="s">
        <v>1718</v>
      </c>
    </row>
    <row r="145" spans="2:12" ht="13.5" x14ac:dyDescent="0.25">
      <c r="B145" s="1772" t="s">
        <v>149</v>
      </c>
      <c r="C145" s="774">
        <v>0</v>
      </c>
      <c r="D145" s="774">
        <v>0</v>
      </c>
      <c r="E145" s="774">
        <v>0</v>
      </c>
      <c r="F145" s="774">
        <v>0</v>
      </c>
      <c r="G145" s="774">
        <v>0</v>
      </c>
      <c r="H145" s="774">
        <v>0</v>
      </c>
      <c r="I145" s="774">
        <v>0</v>
      </c>
      <c r="J145" s="774">
        <v>0</v>
      </c>
      <c r="K145" s="141" t="s">
        <v>1719</v>
      </c>
    </row>
    <row r="146" spans="2:12" ht="13.5" x14ac:dyDescent="0.25">
      <c r="B146" s="1771" t="s">
        <v>76</v>
      </c>
      <c r="C146" s="773">
        <v>0</v>
      </c>
      <c r="D146" s="773">
        <v>0</v>
      </c>
      <c r="E146" s="773">
        <v>0</v>
      </c>
      <c r="F146" s="773">
        <v>0</v>
      </c>
      <c r="G146" s="773">
        <v>0</v>
      </c>
      <c r="H146" s="773">
        <v>0</v>
      </c>
      <c r="I146" s="773">
        <v>0</v>
      </c>
      <c r="J146" s="773">
        <v>0</v>
      </c>
      <c r="K146" s="141" t="s">
        <v>1720</v>
      </c>
    </row>
    <row r="147" spans="2:12" ht="14.25" thickBot="1" x14ac:dyDescent="0.3">
      <c r="B147" s="1773" t="s">
        <v>77</v>
      </c>
      <c r="C147" s="776">
        <v>6929229000</v>
      </c>
      <c r="D147" s="776">
        <v>6426658000</v>
      </c>
      <c r="E147" s="776">
        <v>7321759000</v>
      </c>
      <c r="F147" s="776">
        <v>9197753000</v>
      </c>
      <c r="G147" s="776">
        <v>10228153000</v>
      </c>
      <c r="H147" s="776">
        <v>11410916000</v>
      </c>
      <c r="I147" s="776">
        <v>12395005000</v>
      </c>
      <c r="J147" s="776">
        <v>13738508000</v>
      </c>
      <c r="K147" s="141" t="s">
        <v>1721</v>
      </c>
    </row>
    <row r="148" spans="2:12" ht="13.5" x14ac:dyDescent="0.25">
      <c r="B148" s="1774"/>
      <c r="C148" s="777">
        <v>0.4525536118911066</v>
      </c>
      <c r="D148" s="778"/>
      <c r="E148" s="778"/>
      <c r="F148" s="778"/>
      <c r="G148" s="778"/>
      <c r="H148" s="778"/>
      <c r="I148" s="778"/>
      <c r="J148" s="778"/>
      <c r="K148" s="141">
        <v>0</v>
      </c>
    </row>
    <row r="149" spans="2:12" ht="13.5" x14ac:dyDescent="0.25">
      <c r="B149" s="1774"/>
      <c r="C149" s="777">
        <v>0.54744638810889334</v>
      </c>
      <c r="D149" s="778"/>
      <c r="E149" s="778"/>
      <c r="F149" s="778"/>
      <c r="G149" s="778"/>
      <c r="H149" s="778"/>
      <c r="I149" s="778"/>
      <c r="J149" s="778"/>
      <c r="K149" s="141">
        <v>0</v>
      </c>
    </row>
    <row r="150" spans="2:12" x14ac:dyDescent="0.25">
      <c r="C150" s="777">
        <v>0</v>
      </c>
      <c r="K150" s="141">
        <v>0</v>
      </c>
    </row>
    <row r="151" spans="2:12" ht="13.5" outlineLevel="1" thickBot="1" x14ac:dyDescent="0.3">
      <c r="B151" s="142"/>
      <c r="C151" s="776" t="s">
        <v>528</v>
      </c>
      <c r="D151" s="776" t="s">
        <v>529</v>
      </c>
      <c r="E151" s="776" t="s">
        <v>530</v>
      </c>
      <c r="F151" s="776" t="s">
        <v>531</v>
      </c>
      <c r="G151" s="776" t="s">
        <v>532</v>
      </c>
      <c r="H151" s="776" t="s">
        <v>533</v>
      </c>
      <c r="I151" s="776" t="s">
        <v>534</v>
      </c>
      <c r="J151" s="776" t="s">
        <v>535</v>
      </c>
      <c r="K151" s="141">
        <v>0</v>
      </c>
    </row>
    <row r="152" spans="2:12" ht="13.5" outlineLevel="1" x14ac:dyDescent="0.25">
      <c r="B152" s="1771" t="s">
        <v>150</v>
      </c>
      <c r="C152" s="773">
        <v>6775538000</v>
      </c>
      <c r="D152" s="773">
        <v>7186746000</v>
      </c>
      <c r="E152" s="773">
        <v>7388992000</v>
      </c>
      <c r="F152" s="773">
        <v>9038961000</v>
      </c>
      <c r="G152" s="773">
        <v>11416639000</v>
      </c>
      <c r="H152" s="773">
        <v>12195197000</v>
      </c>
      <c r="I152" s="773">
        <v>13941637000</v>
      </c>
      <c r="J152" s="773">
        <v>15905101000</v>
      </c>
      <c r="K152" s="141" t="s">
        <v>1722</v>
      </c>
    </row>
    <row r="153" spans="2:12" ht="13.5" outlineLevel="1" x14ac:dyDescent="0.25">
      <c r="B153" s="1772" t="s">
        <v>151</v>
      </c>
      <c r="C153" s="774">
        <v>3066294194.4054446</v>
      </c>
      <c r="D153" s="774">
        <v>3384501000</v>
      </c>
      <c r="E153" s="774">
        <v>3547277000</v>
      </c>
      <c r="F153" s="774">
        <v>4125234000</v>
      </c>
      <c r="G153" s="774">
        <v>4628429000</v>
      </c>
      <c r="H153" s="774">
        <v>4908672000</v>
      </c>
      <c r="I153" s="774">
        <v>5179326000</v>
      </c>
      <c r="J153" s="774">
        <v>6113517000</v>
      </c>
      <c r="K153" s="141" t="s">
        <v>1723</v>
      </c>
    </row>
    <row r="154" spans="2:12" ht="13.5" outlineLevel="1" x14ac:dyDescent="0.25">
      <c r="B154" s="1772" t="s">
        <v>152</v>
      </c>
      <c r="C154" s="774">
        <v>3709243805.5945549</v>
      </c>
      <c r="D154" s="774">
        <v>3802245000</v>
      </c>
      <c r="E154" s="774">
        <v>3841715000</v>
      </c>
      <c r="F154" s="774">
        <v>4913727000</v>
      </c>
      <c r="G154" s="774">
        <v>6788210000</v>
      </c>
      <c r="H154" s="774">
        <v>7286525000</v>
      </c>
      <c r="I154" s="774">
        <v>8762311000</v>
      </c>
      <c r="J154" s="774">
        <v>9791584000</v>
      </c>
      <c r="K154" s="141" t="s">
        <v>1724</v>
      </c>
    </row>
    <row r="155" spans="2:12" ht="13.5" outlineLevel="1" x14ac:dyDescent="0.25">
      <c r="B155" s="1772" t="s">
        <v>153</v>
      </c>
      <c r="C155" s="774">
        <v>0</v>
      </c>
      <c r="D155" s="774">
        <v>0</v>
      </c>
      <c r="E155" s="774">
        <v>0</v>
      </c>
      <c r="F155" s="774">
        <v>0</v>
      </c>
      <c r="G155" s="774">
        <v>0</v>
      </c>
      <c r="H155" s="774">
        <v>0</v>
      </c>
      <c r="I155" s="774">
        <v>0</v>
      </c>
      <c r="J155" s="774">
        <v>0</v>
      </c>
      <c r="K155" s="141" t="s">
        <v>1725</v>
      </c>
    </row>
    <row r="156" spans="2:12" ht="13.5" outlineLevel="1" x14ac:dyDescent="0.25">
      <c r="B156" s="1771" t="s">
        <v>154</v>
      </c>
      <c r="C156" s="773">
        <v>724533811.57778335</v>
      </c>
      <c r="D156" s="773">
        <v>594851000</v>
      </c>
      <c r="E156" s="773">
        <v>452572000</v>
      </c>
      <c r="F156" s="773">
        <v>601722000</v>
      </c>
      <c r="G156" s="773">
        <v>859778000</v>
      </c>
      <c r="H156" s="773">
        <v>1097486000</v>
      </c>
      <c r="I156" s="773">
        <v>1427604000</v>
      </c>
      <c r="J156" s="773">
        <v>1739001000</v>
      </c>
      <c r="K156" s="141" t="s">
        <v>1726</v>
      </c>
      <c r="L156" s="1187"/>
    </row>
    <row r="157" spans="2:12" ht="13.5" outlineLevel="1" x14ac:dyDescent="0.25">
      <c r="B157" s="1772" t="s">
        <v>155</v>
      </c>
      <c r="C157" s="774">
        <v>0</v>
      </c>
      <c r="D157" s="774">
        <v>0</v>
      </c>
      <c r="E157" s="774">
        <v>0</v>
      </c>
      <c r="F157" s="774">
        <v>0</v>
      </c>
      <c r="G157" s="774">
        <v>0</v>
      </c>
      <c r="H157" s="774">
        <v>0</v>
      </c>
      <c r="I157" s="774">
        <v>0</v>
      </c>
      <c r="J157" s="774">
        <v>0</v>
      </c>
      <c r="K157" s="141" t="s">
        <v>1727</v>
      </c>
    </row>
    <row r="158" spans="2:12" ht="13.5" outlineLevel="1" x14ac:dyDescent="0.25">
      <c r="B158" s="1772" t="s">
        <v>156</v>
      </c>
      <c r="C158" s="774">
        <v>0</v>
      </c>
      <c r="D158" s="774">
        <v>0</v>
      </c>
      <c r="E158" s="774">
        <v>0</v>
      </c>
      <c r="F158" s="774">
        <v>0</v>
      </c>
      <c r="G158" s="774">
        <v>0</v>
      </c>
      <c r="H158" s="774">
        <v>1097486000</v>
      </c>
      <c r="I158" s="774">
        <v>0</v>
      </c>
      <c r="J158" s="774">
        <v>0</v>
      </c>
      <c r="K158" s="141" t="s">
        <v>1728</v>
      </c>
    </row>
    <row r="159" spans="2:12" ht="13.5" outlineLevel="1" x14ac:dyDescent="0.25">
      <c r="B159" s="1772" t="s">
        <v>106</v>
      </c>
      <c r="C159" s="774">
        <v>637320000</v>
      </c>
      <c r="D159" s="774">
        <v>594851000</v>
      </c>
      <c r="E159" s="774">
        <v>452572000</v>
      </c>
      <c r="F159" s="774">
        <v>0</v>
      </c>
      <c r="G159" s="774">
        <v>859778000</v>
      </c>
      <c r="H159" s="774">
        <v>0</v>
      </c>
      <c r="I159" s="774">
        <v>0</v>
      </c>
      <c r="J159" s="774">
        <v>0</v>
      </c>
      <c r="K159" s="141" t="s">
        <v>1729</v>
      </c>
    </row>
    <row r="160" spans="2:12" ht="13.5" outlineLevel="1" x14ac:dyDescent="0.25">
      <c r="B160" s="1771" t="s">
        <v>25</v>
      </c>
      <c r="C160" s="773">
        <v>0</v>
      </c>
      <c r="D160" s="773">
        <v>0</v>
      </c>
      <c r="E160" s="773">
        <v>0</v>
      </c>
      <c r="F160" s="773">
        <v>0</v>
      </c>
      <c r="G160" s="773">
        <v>0</v>
      </c>
      <c r="H160" s="773">
        <v>0</v>
      </c>
      <c r="I160" s="773">
        <v>0</v>
      </c>
      <c r="J160" s="773">
        <v>0</v>
      </c>
      <c r="K160" s="141" t="s">
        <v>1730</v>
      </c>
    </row>
    <row r="161" spans="2:11" ht="13.5" outlineLevel="1" x14ac:dyDescent="0.25">
      <c r="B161" s="1771" t="s">
        <v>181</v>
      </c>
      <c r="C161" s="773">
        <v>6775538000</v>
      </c>
      <c r="D161" s="773">
        <v>6591895000</v>
      </c>
      <c r="E161" s="773">
        <v>6936420000</v>
      </c>
      <c r="F161" s="773">
        <v>8437239000</v>
      </c>
      <c r="G161" s="773">
        <v>10556861000</v>
      </c>
      <c r="H161" s="773">
        <v>11097711000</v>
      </c>
      <c r="I161" s="773">
        <v>12514033000</v>
      </c>
      <c r="J161" s="773">
        <v>14166100000</v>
      </c>
      <c r="K161" s="141" t="s">
        <v>1731</v>
      </c>
    </row>
    <row r="162" spans="2:11" ht="13.5" outlineLevel="1" x14ac:dyDescent="0.25">
      <c r="B162" s="1771" t="s">
        <v>26</v>
      </c>
      <c r="C162" s="773">
        <v>0</v>
      </c>
      <c r="D162" s="773">
        <v>0</v>
      </c>
      <c r="E162" s="773">
        <v>0</v>
      </c>
      <c r="F162" s="773">
        <v>0</v>
      </c>
      <c r="G162" s="773">
        <v>0</v>
      </c>
      <c r="H162" s="773">
        <v>0</v>
      </c>
      <c r="I162" s="773">
        <v>0</v>
      </c>
      <c r="J162" s="773">
        <v>0</v>
      </c>
      <c r="K162" s="141" t="s">
        <v>1732</v>
      </c>
    </row>
    <row r="163" spans="2:11" ht="13.5" outlineLevel="1" x14ac:dyDescent="0.25">
      <c r="B163" s="1771" t="s">
        <v>157</v>
      </c>
      <c r="C163" s="773">
        <v>4905292000</v>
      </c>
      <c r="D163" s="773">
        <v>4417892000</v>
      </c>
      <c r="E163" s="773">
        <v>4868473000</v>
      </c>
      <c r="F163" s="773">
        <v>5897009000</v>
      </c>
      <c r="G163" s="773">
        <v>7503024000</v>
      </c>
      <c r="H163" s="773">
        <v>7709326000</v>
      </c>
      <c r="I163" s="773">
        <v>8535201000</v>
      </c>
      <c r="J163" s="773">
        <v>9630207000</v>
      </c>
      <c r="K163" s="141" t="s">
        <v>1733</v>
      </c>
    </row>
    <row r="164" spans="2:11" ht="13.5" outlineLevel="1" x14ac:dyDescent="0.25">
      <c r="B164" s="1771" t="s">
        <v>27</v>
      </c>
      <c r="C164" s="773">
        <v>0</v>
      </c>
      <c r="D164" s="773">
        <v>0</v>
      </c>
      <c r="E164" s="773">
        <v>0</v>
      </c>
      <c r="F164" s="773">
        <v>0</v>
      </c>
      <c r="G164" s="773">
        <v>0</v>
      </c>
      <c r="H164" s="773">
        <v>0</v>
      </c>
      <c r="I164" s="773">
        <v>0</v>
      </c>
      <c r="J164" s="773">
        <v>0</v>
      </c>
      <c r="K164" s="141" t="s">
        <v>1734</v>
      </c>
    </row>
    <row r="165" spans="2:11" ht="13.5" outlineLevel="1" x14ac:dyDescent="0.25">
      <c r="B165" s="1771" t="s">
        <v>158</v>
      </c>
      <c r="C165" s="773">
        <v>0</v>
      </c>
      <c r="D165" s="773">
        <v>0</v>
      </c>
      <c r="E165" s="773">
        <v>0</v>
      </c>
      <c r="F165" s="773">
        <v>0</v>
      </c>
      <c r="G165" s="773">
        <v>0</v>
      </c>
      <c r="H165" s="773">
        <v>0</v>
      </c>
      <c r="I165" s="773">
        <v>0</v>
      </c>
      <c r="J165" s="773">
        <v>0</v>
      </c>
      <c r="K165" s="141" t="s">
        <v>1735</v>
      </c>
    </row>
    <row r="166" spans="2:11" ht="13.5" outlineLevel="1" x14ac:dyDescent="0.25">
      <c r="B166" s="1771" t="s">
        <v>28</v>
      </c>
      <c r="C166" s="773">
        <v>0</v>
      </c>
      <c r="D166" s="773">
        <v>0</v>
      </c>
      <c r="E166" s="773">
        <v>0</v>
      </c>
      <c r="F166" s="773">
        <v>0</v>
      </c>
      <c r="G166" s="773">
        <v>0</v>
      </c>
      <c r="H166" s="773">
        <v>0</v>
      </c>
      <c r="I166" s="773">
        <v>0</v>
      </c>
      <c r="J166" s="773">
        <v>0</v>
      </c>
      <c r="K166" s="141" t="s">
        <v>1736</v>
      </c>
    </row>
    <row r="167" spans="2:11" ht="13.5" outlineLevel="1" x14ac:dyDescent="0.25">
      <c r="B167" s="1771" t="s">
        <v>29</v>
      </c>
      <c r="C167" s="773">
        <v>0</v>
      </c>
      <c r="D167" s="773">
        <v>0</v>
      </c>
      <c r="E167" s="773">
        <v>0</v>
      </c>
      <c r="F167" s="773">
        <v>0</v>
      </c>
      <c r="G167" s="773">
        <v>0</v>
      </c>
      <c r="H167" s="773">
        <v>0</v>
      </c>
      <c r="I167" s="773">
        <v>0</v>
      </c>
      <c r="J167" s="773">
        <v>0</v>
      </c>
      <c r="K167" s="141" t="s">
        <v>1737</v>
      </c>
    </row>
    <row r="168" spans="2:11" ht="13.5" outlineLevel="1" x14ac:dyDescent="0.25">
      <c r="B168" s="1771" t="s">
        <v>78</v>
      </c>
      <c r="C168" s="773">
        <v>0</v>
      </c>
      <c r="D168" s="773">
        <v>0</v>
      </c>
      <c r="E168" s="773">
        <v>0</v>
      </c>
      <c r="F168" s="773">
        <v>0</v>
      </c>
      <c r="G168" s="773">
        <v>0</v>
      </c>
      <c r="H168" s="773">
        <v>0</v>
      </c>
      <c r="I168" s="773">
        <v>0</v>
      </c>
      <c r="J168" s="773">
        <v>0</v>
      </c>
      <c r="K168" s="141" t="s">
        <v>1738</v>
      </c>
    </row>
    <row r="169" spans="2:11" ht="13.5" outlineLevel="1" x14ac:dyDescent="0.25">
      <c r="B169" s="1771" t="s">
        <v>159</v>
      </c>
      <c r="C169" s="773">
        <v>0</v>
      </c>
      <c r="D169" s="773">
        <v>0</v>
      </c>
      <c r="E169" s="773">
        <v>0</v>
      </c>
      <c r="F169" s="773">
        <v>0</v>
      </c>
      <c r="G169" s="773">
        <v>0</v>
      </c>
      <c r="H169" s="773">
        <v>0</v>
      </c>
      <c r="I169" s="773">
        <v>0</v>
      </c>
      <c r="J169" s="773">
        <v>0</v>
      </c>
      <c r="K169" s="141" t="s">
        <v>1739</v>
      </c>
    </row>
    <row r="170" spans="2:11" ht="13.5" outlineLevel="1" x14ac:dyDescent="0.25">
      <c r="B170" s="1771" t="s">
        <v>107</v>
      </c>
      <c r="C170" s="773">
        <v>0</v>
      </c>
      <c r="D170" s="773">
        <v>0</v>
      </c>
      <c r="E170" s="773">
        <v>0</v>
      </c>
      <c r="F170" s="773">
        <v>0</v>
      </c>
      <c r="G170" s="773">
        <v>0</v>
      </c>
      <c r="H170" s="773">
        <v>0</v>
      </c>
      <c r="I170" s="773">
        <v>0</v>
      </c>
      <c r="J170" s="773">
        <v>0</v>
      </c>
      <c r="K170" s="141" t="s">
        <v>1740</v>
      </c>
    </row>
    <row r="171" spans="2:11" ht="13.5" outlineLevel="1" x14ac:dyDescent="0.25">
      <c r="B171" s="1771" t="s">
        <v>108</v>
      </c>
      <c r="C171" s="773">
        <v>0</v>
      </c>
      <c r="D171" s="773">
        <v>0</v>
      </c>
      <c r="E171" s="773">
        <v>0</v>
      </c>
      <c r="F171" s="773">
        <v>0</v>
      </c>
      <c r="G171" s="773">
        <v>0</v>
      </c>
      <c r="H171" s="773">
        <v>0</v>
      </c>
      <c r="I171" s="773">
        <v>0</v>
      </c>
      <c r="J171" s="773">
        <v>0</v>
      </c>
      <c r="K171" s="141" t="s">
        <v>1741</v>
      </c>
    </row>
    <row r="172" spans="2:11" ht="13.5" outlineLevel="1" x14ac:dyDescent="0.25">
      <c r="B172" s="1771" t="s">
        <v>109</v>
      </c>
      <c r="C172" s="773">
        <v>0</v>
      </c>
      <c r="D172" s="773">
        <v>0</v>
      </c>
      <c r="E172" s="773">
        <v>0</v>
      </c>
      <c r="F172" s="773">
        <v>0</v>
      </c>
      <c r="G172" s="773">
        <v>0</v>
      </c>
      <c r="H172" s="773">
        <v>0</v>
      </c>
      <c r="I172" s="773">
        <v>0</v>
      </c>
      <c r="J172" s="773">
        <v>0</v>
      </c>
      <c r="K172" s="141" t="s">
        <v>1742</v>
      </c>
    </row>
    <row r="173" spans="2:11" ht="13.5" outlineLevel="1" x14ac:dyDescent="0.25">
      <c r="B173" s="1771" t="s">
        <v>30</v>
      </c>
      <c r="C173" s="773">
        <v>0</v>
      </c>
      <c r="D173" s="773">
        <v>0</v>
      </c>
      <c r="E173" s="773">
        <v>0</v>
      </c>
      <c r="F173" s="773">
        <v>0</v>
      </c>
      <c r="G173" s="773">
        <v>0</v>
      </c>
      <c r="H173" s="773">
        <v>0</v>
      </c>
      <c r="I173" s="773">
        <v>0</v>
      </c>
      <c r="J173" s="773">
        <v>0</v>
      </c>
      <c r="K173" s="141" t="s">
        <v>1743</v>
      </c>
    </row>
    <row r="174" spans="2:11" ht="13.5" outlineLevel="1" x14ac:dyDescent="0.25">
      <c r="B174" s="1771" t="s">
        <v>79</v>
      </c>
      <c r="C174" s="773">
        <v>1870246000</v>
      </c>
      <c r="D174" s="773">
        <v>2174003000</v>
      </c>
      <c r="E174" s="773">
        <v>2067947000</v>
      </c>
      <c r="F174" s="773">
        <v>2540230000</v>
      </c>
      <c r="G174" s="773">
        <v>3053837000</v>
      </c>
      <c r="H174" s="773">
        <v>3388385000</v>
      </c>
      <c r="I174" s="773">
        <v>3978832000</v>
      </c>
      <c r="J174" s="773">
        <v>4535893000</v>
      </c>
      <c r="K174" s="141" t="s">
        <v>1744</v>
      </c>
    </row>
    <row r="175" spans="2:11" ht="13.5" outlineLevel="1" x14ac:dyDescent="0.25">
      <c r="B175" s="1771" t="s">
        <v>31</v>
      </c>
      <c r="C175" s="773">
        <v>1430657000</v>
      </c>
      <c r="D175" s="773">
        <v>1479810000</v>
      </c>
      <c r="E175" s="773">
        <v>1502372000</v>
      </c>
      <c r="F175" s="773">
        <v>1881673000</v>
      </c>
      <c r="G175" s="773">
        <v>2283826000</v>
      </c>
      <c r="H175" s="773">
        <v>2527238000</v>
      </c>
      <c r="I175" s="773">
        <v>2991091000</v>
      </c>
      <c r="J175" s="773">
        <v>3449255000</v>
      </c>
      <c r="K175" s="141" t="s">
        <v>1745</v>
      </c>
    </row>
    <row r="176" spans="2:11" ht="13.5" outlineLevel="1" x14ac:dyDescent="0.25">
      <c r="B176" s="1772" t="s">
        <v>160</v>
      </c>
      <c r="C176" s="774">
        <v>54517000</v>
      </c>
      <c r="D176" s="774">
        <v>48480000</v>
      </c>
      <c r="E176" s="774">
        <v>60520000</v>
      </c>
      <c r="F176" s="774">
        <v>64847000</v>
      </c>
      <c r="G176" s="774">
        <v>72998000</v>
      </c>
      <c r="H176" s="774">
        <v>83207000</v>
      </c>
      <c r="I176" s="774">
        <v>102055000</v>
      </c>
      <c r="J176" s="774">
        <v>125173000</v>
      </c>
      <c r="K176" s="141" t="s">
        <v>1746</v>
      </c>
    </row>
    <row r="177" spans="2:15" ht="13.5" outlineLevel="1" x14ac:dyDescent="0.25">
      <c r="B177" s="1772" t="s">
        <v>161</v>
      </c>
      <c r="C177" s="774">
        <v>1080524000</v>
      </c>
      <c r="D177" s="774">
        <v>1105725000</v>
      </c>
      <c r="E177" s="774">
        <v>1161489000</v>
      </c>
      <c r="F177" s="774">
        <v>1474254000</v>
      </c>
      <c r="G177" s="774">
        <v>1820900000</v>
      </c>
      <c r="H177" s="774">
        <v>2013033000</v>
      </c>
      <c r="I177" s="774">
        <v>2356247000</v>
      </c>
      <c r="J177" s="774">
        <v>2722014000</v>
      </c>
      <c r="K177" s="141" t="s">
        <v>1747</v>
      </c>
    </row>
    <row r="178" spans="2:15" ht="13.5" outlineLevel="1" x14ac:dyDescent="0.25">
      <c r="B178" s="1772" t="s">
        <v>32</v>
      </c>
      <c r="C178" s="774">
        <v>295616000</v>
      </c>
      <c r="D178" s="774">
        <v>325605000</v>
      </c>
      <c r="E178" s="774">
        <v>280363000</v>
      </c>
      <c r="F178" s="774">
        <v>342572000</v>
      </c>
      <c r="G178" s="774">
        <v>389928000</v>
      </c>
      <c r="H178" s="774">
        <v>430998000</v>
      </c>
      <c r="I178" s="774">
        <v>532789000</v>
      </c>
      <c r="J178" s="774">
        <v>602068000</v>
      </c>
      <c r="K178" s="141" t="s">
        <v>1748</v>
      </c>
    </row>
    <row r="179" spans="2:15" ht="13.5" outlineLevel="1" x14ac:dyDescent="0.25">
      <c r="B179" s="1771" t="s">
        <v>33</v>
      </c>
      <c r="C179" s="773">
        <v>0</v>
      </c>
      <c r="D179" s="773">
        <v>0</v>
      </c>
      <c r="E179" s="773">
        <v>0</v>
      </c>
      <c r="F179" s="773">
        <v>0</v>
      </c>
      <c r="G179" s="773">
        <v>0</v>
      </c>
      <c r="H179" s="773">
        <v>0</v>
      </c>
      <c r="I179" s="773">
        <v>0</v>
      </c>
      <c r="J179" s="773">
        <v>0</v>
      </c>
      <c r="K179" s="141" t="s">
        <v>1749</v>
      </c>
    </row>
    <row r="180" spans="2:15" ht="13.5" outlineLevel="1" x14ac:dyDescent="0.25">
      <c r="B180" s="1771" t="s">
        <v>162</v>
      </c>
      <c r="C180" s="773">
        <v>0</v>
      </c>
      <c r="D180" s="773">
        <v>0</v>
      </c>
      <c r="E180" s="773">
        <v>0</v>
      </c>
      <c r="F180" s="773">
        <v>0</v>
      </c>
      <c r="G180" s="773">
        <v>0</v>
      </c>
      <c r="H180" s="773">
        <v>0</v>
      </c>
      <c r="I180" s="773">
        <v>0</v>
      </c>
      <c r="J180" s="773">
        <v>0</v>
      </c>
      <c r="K180" s="141" t="s">
        <v>1750</v>
      </c>
    </row>
    <row r="181" spans="2:15" ht="13.5" outlineLevel="1" x14ac:dyDescent="0.25">
      <c r="B181" s="1771" t="s">
        <v>80</v>
      </c>
      <c r="C181" s="773">
        <v>439589000</v>
      </c>
      <c r="D181" s="773">
        <v>694193000</v>
      </c>
      <c r="E181" s="773">
        <v>565575000</v>
      </c>
      <c r="F181" s="773">
        <v>658557000</v>
      </c>
      <c r="G181" s="773">
        <v>770011000</v>
      </c>
      <c r="H181" s="773">
        <v>861147000</v>
      </c>
      <c r="I181" s="773">
        <v>987741000</v>
      </c>
      <c r="J181" s="773">
        <v>1086638000</v>
      </c>
      <c r="K181" s="141" t="s">
        <v>1751</v>
      </c>
    </row>
    <row r="182" spans="2:15" s="780" customFormat="1" ht="13.5" outlineLevel="1" x14ac:dyDescent="0.25">
      <c r="B182" s="1771" t="s">
        <v>969</v>
      </c>
      <c r="C182" s="773">
        <v>0</v>
      </c>
      <c r="D182" s="773">
        <v>0</v>
      </c>
      <c r="E182" s="773">
        <v>0</v>
      </c>
      <c r="F182" s="773">
        <v>0</v>
      </c>
      <c r="G182" s="773">
        <v>0</v>
      </c>
      <c r="H182" s="773">
        <v>11381000</v>
      </c>
      <c r="I182" s="773">
        <v>16264000</v>
      </c>
      <c r="J182" s="773">
        <v>17857000</v>
      </c>
      <c r="K182" s="141" t="s">
        <v>1752</v>
      </c>
      <c r="L182" s="773">
        <v>11381000</v>
      </c>
      <c r="M182" s="773">
        <v>16264000</v>
      </c>
      <c r="N182" s="773">
        <v>17857000</v>
      </c>
      <c r="O182" s="141"/>
    </row>
    <row r="183" spans="2:15" s="780" customFormat="1" ht="13.5" outlineLevel="1" x14ac:dyDescent="0.25">
      <c r="B183" s="1771" t="s">
        <v>970</v>
      </c>
      <c r="C183" s="773">
        <v>0</v>
      </c>
      <c r="D183" s="773">
        <v>0</v>
      </c>
      <c r="E183" s="773">
        <v>0</v>
      </c>
      <c r="F183" s="773">
        <v>0</v>
      </c>
      <c r="G183" s="773">
        <v>0</v>
      </c>
      <c r="H183" s="773">
        <v>2857000</v>
      </c>
      <c r="I183" s="773">
        <v>1377000</v>
      </c>
      <c r="J183" s="773">
        <v>2781000</v>
      </c>
      <c r="K183" s="141" t="s">
        <v>1753</v>
      </c>
      <c r="L183" s="773">
        <v>-2857000</v>
      </c>
      <c r="M183" s="773">
        <v>-1377000</v>
      </c>
      <c r="N183" s="773">
        <v>-2781000</v>
      </c>
      <c r="O183" s="141"/>
    </row>
    <row r="184" spans="2:15" ht="13.5" outlineLevel="1" x14ac:dyDescent="0.25">
      <c r="B184" s="1771" t="s">
        <v>163</v>
      </c>
      <c r="C184" s="773">
        <v>0</v>
      </c>
      <c r="D184" s="773">
        <v>0</v>
      </c>
      <c r="E184" s="773">
        <v>0</v>
      </c>
      <c r="F184" s="773">
        <v>0</v>
      </c>
      <c r="G184" s="773">
        <v>0</v>
      </c>
      <c r="H184" s="773">
        <v>0</v>
      </c>
      <c r="I184" s="773">
        <v>0</v>
      </c>
      <c r="J184" s="773">
        <v>0</v>
      </c>
      <c r="K184" s="141" t="s">
        <v>1754</v>
      </c>
    </row>
    <row r="185" spans="2:15" ht="13.5" outlineLevel="1" x14ac:dyDescent="0.25">
      <c r="B185" s="1771" t="s">
        <v>110</v>
      </c>
      <c r="C185" s="773">
        <v>44934000</v>
      </c>
      <c r="D185" s="773">
        <v>184966000</v>
      </c>
      <c r="E185" s="773">
        <v>130416000</v>
      </c>
      <c r="F185" s="773">
        <v>60194000</v>
      </c>
      <c r="G185" s="773">
        <v>69706000</v>
      </c>
      <c r="H185" s="773">
        <v>461614000</v>
      </c>
      <c r="I185" s="773">
        <v>216137000</v>
      </c>
      <c r="J185" s="773">
        <v>471267000</v>
      </c>
      <c r="K185" s="141" t="s">
        <v>1755</v>
      </c>
    </row>
    <row r="186" spans="2:15" ht="13.5" outlineLevel="1" x14ac:dyDescent="0.25">
      <c r="B186" s="1772" t="s">
        <v>180</v>
      </c>
      <c r="C186" s="774">
        <v>0</v>
      </c>
      <c r="D186" s="774">
        <v>0</v>
      </c>
      <c r="E186" s="774">
        <v>0</v>
      </c>
      <c r="F186" s="774">
        <v>0</v>
      </c>
      <c r="G186" s="774">
        <v>0</v>
      </c>
      <c r="H186" s="774">
        <v>0</v>
      </c>
      <c r="I186" s="774">
        <v>0</v>
      </c>
      <c r="J186" s="774">
        <v>0</v>
      </c>
      <c r="K186" s="141" t="s">
        <v>1756</v>
      </c>
    </row>
    <row r="187" spans="2:15" ht="13.5" outlineLevel="1" x14ac:dyDescent="0.25">
      <c r="B187" s="1772" t="s">
        <v>111</v>
      </c>
      <c r="C187" s="774">
        <v>0</v>
      </c>
      <c r="D187" s="774">
        <v>0</v>
      </c>
      <c r="E187" s="774">
        <v>0</v>
      </c>
      <c r="F187" s="774">
        <v>0</v>
      </c>
      <c r="G187" s="774">
        <v>0</v>
      </c>
      <c r="H187" s="774">
        <v>0</v>
      </c>
      <c r="I187" s="774">
        <v>0</v>
      </c>
      <c r="J187" s="774">
        <v>0</v>
      </c>
      <c r="K187" s="141" t="s">
        <v>1757</v>
      </c>
    </row>
    <row r="188" spans="2:15" ht="13.5" outlineLevel="1" x14ac:dyDescent="0.25">
      <c r="B188" s="1772" t="s">
        <v>112</v>
      </c>
      <c r="C188" s="774">
        <v>0</v>
      </c>
      <c r="D188" s="774">
        <v>0</v>
      </c>
      <c r="E188" s="774">
        <v>0</v>
      </c>
      <c r="F188" s="774">
        <v>0</v>
      </c>
      <c r="G188" s="774">
        <v>0</v>
      </c>
      <c r="H188" s="774">
        <v>0</v>
      </c>
      <c r="I188" s="774">
        <v>0</v>
      </c>
      <c r="J188" s="774">
        <v>0</v>
      </c>
      <c r="K188" s="141" t="s">
        <v>1758</v>
      </c>
    </row>
    <row r="189" spans="2:15" ht="13.5" outlineLevel="1" x14ac:dyDescent="0.25">
      <c r="B189" s="1772" t="s">
        <v>113</v>
      </c>
      <c r="C189" s="774">
        <v>0</v>
      </c>
      <c r="D189" s="774">
        <v>0</v>
      </c>
      <c r="E189" s="774">
        <v>0</v>
      </c>
      <c r="F189" s="774">
        <v>0</v>
      </c>
      <c r="G189" s="774">
        <v>0</v>
      </c>
      <c r="H189" s="774">
        <v>0</v>
      </c>
      <c r="I189" s="774">
        <v>0</v>
      </c>
      <c r="J189" s="774">
        <v>0</v>
      </c>
      <c r="K189" s="141" t="s">
        <v>1759</v>
      </c>
    </row>
    <row r="190" spans="2:15" ht="13.5" outlineLevel="1" x14ac:dyDescent="0.25">
      <c r="B190" s="1771" t="s">
        <v>114</v>
      </c>
      <c r="C190" s="773">
        <v>44972000</v>
      </c>
      <c r="D190" s="773">
        <v>130313000</v>
      </c>
      <c r="E190" s="773">
        <v>58341000</v>
      </c>
      <c r="F190" s="773">
        <v>72857000</v>
      </c>
      <c r="G190" s="773">
        <v>82580000</v>
      </c>
      <c r="H190" s="773">
        <v>186415000</v>
      </c>
      <c r="I190" s="773">
        <v>235089000</v>
      </c>
      <c r="J190" s="773">
        <v>275148000</v>
      </c>
      <c r="K190" s="141" t="s">
        <v>1760</v>
      </c>
    </row>
    <row r="191" spans="2:15" ht="13.5" outlineLevel="1" x14ac:dyDescent="0.25">
      <c r="B191" s="1771" t="s">
        <v>34</v>
      </c>
      <c r="C191" s="773">
        <v>0</v>
      </c>
      <c r="D191" s="773">
        <v>0</v>
      </c>
      <c r="E191" s="773">
        <v>0</v>
      </c>
      <c r="F191" s="773">
        <v>0</v>
      </c>
      <c r="G191" s="773">
        <v>0</v>
      </c>
      <c r="H191" s="773">
        <v>0</v>
      </c>
      <c r="I191" s="773">
        <v>0</v>
      </c>
      <c r="J191" s="773">
        <v>0</v>
      </c>
      <c r="K191" s="141" t="s">
        <v>1761</v>
      </c>
    </row>
    <row r="192" spans="2:15" ht="13.5" outlineLevel="1" x14ac:dyDescent="0.25">
      <c r="B192" s="1772" t="s">
        <v>81</v>
      </c>
      <c r="C192" s="774">
        <v>0</v>
      </c>
      <c r="D192" s="774">
        <v>0</v>
      </c>
      <c r="E192" s="774">
        <v>0</v>
      </c>
      <c r="F192" s="774">
        <v>0</v>
      </c>
      <c r="G192" s="774">
        <v>0</v>
      </c>
      <c r="H192" s="774">
        <v>0</v>
      </c>
      <c r="I192" s="774">
        <v>0</v>
      </c>
      <c r="J192" s="774">
        <v>0</v>
      </c>
      <c r="K192" s="141" t="s">
        <v>1762</v>
      </c>
    </row>
    <row r="193" spans="2:12" ht="13.5" outlineLevel="1" x14ac:dyDescent="0.25">
      <c r="B193" s="1772" t="s">
        <v>35</v>
      </c>
      <c r="C193" s="774">
        <v>0</v>
      </c>
      <c r="D193" s="774">
        <v>0</v>
      </c>
      <c r="E193" s="774">
        <v>0</v>
      </c>
      <c r="F193" s="774">
        <v>0</v>
      </c>
      <c r="G193" s="774">
        <v>0</v>
      </c>
      <c r="H193" s="774">
        <v>0</v>
      </c>
      <c r="I193" s="774">
        <v>0</v>
      </c>
      <c r="J193" s="774">
        <v>0</v>
      </c>
      <c r="K193" s="141" t="s">
        <v>1763</v>
      </c>
    </row>
    <row r="194" spans="2:12" ht="13.5" outlineLevel="1" x14ac:dyDescent="0.25">
      <c r="B194" s="1771" t="s">
        <v>958</v>
      </c>
      <c r="C194" s="773">
        <v>0</v>
      </c>
      <c r="D194" s="773">
        <v>0</v>
      </c>
      <c r="E194" s="773">
        <v>0</v>
      </c>
      <c r="F194" s="773">
        <v>0</v>
      </c>
      <c r="G194" s="773">
        <v>0</v>
      </c>
      <c r="H194" s="773">
        <v>0</v>
      </c>
      <c r="I194" s="773">
        <v>0</v>
      </c>
      <c r="J194" s="773">
        <v>0</v>
      </c>
      <c r="K194" s="141" t="s">
        <v>1764</v>
      </c>
    </row>
    <row r="195" spans="2:12" ht="13.5" outlineLevel="1" x14ac:dyDescent="0.25">
      <c r="B195" s="1771" t="s">
        <v>82</v>
      </c>
      <c r="C195" s="773">
        <v>439551000</v>
      </c>
      <c r="D195" s="773">
        <v>748846000</v>
      </c>
      <c r="E195" s="773">
        <v>637650000</v>
      </c>
      <c r="F195" s="773">
        <v>645894000</v>
      </c>
      <c r="G195" s="773">
        <v>757137000</v>
      </c>
      <c r="H195" s="773">
        <v>1136346000</v>
      </c>
      <c r="I195" s="773">
        <v>968789000</v>
      </c>
      <c r="J195" s="773">
        <v>1282757000</v>
      </c>
      <c r="K195" s="141" t="s">
        <v>1765</v>
      </c>
      <c r="L195" s="1187">
        <f>+J195+J196+J197-J198</f>
        <v>770045000</v>
      </c>
    </row>
    <row r="196" spans="2:12" ht="13.5" outlineLevel="1" x14ac:dyDescent="0.25">
      <c r="B196" s="1771" t="s">
        <v>115</v>
      </c>
      <c r="C196" s="773">
        <v>12473000</v>
      </c>
      <c r="D196" s="773">
        <v>5567000</v>
      </c>
      <c r="E196" s="773">
        <v>11907000</v>
      </c>
      <c r="F196" s="773">
        <v>28378000</v>
      </c>
      <c r="G196" s="773">
        <v>34551000</v>
      </c>
      <c r="H196" s="773">
        <v>25345000</v>
      </c>
      <c r="I196" s="773">
        <v>18156000</v>
      </c>
      <c r="J196" s="773">
        <v>24403000</v>
      </c>
      <c r="K196" s="141" t="s">
        <v>1766</v>
      </c>
    </row>
    <row r="197" spans="2:12" ht="13.5" outlineLevel="1" x14ac:dyDescent="0.25">
      <c r="B197" s="1771" t="s">
        <v>164</v>
      </c>
      <c r="C197" s="773">
        <v>741036000</v>
      </c>
      <c r="D197" s="773">
        <v>402124000</v>
      </c>
      <c r="E197" s="773">
        <v>287046000</v>
      </c>
      <c r="F197" s="773">
        <v>415558000</v>
      </c>
      <c r="G197" s="773">
        <v>336798000</v>
      </c>
      <c r="H197" s="773">
        <v>429376000</v>
      </c>
      <c r="I197" s="773">
        <v>476126000</v>
      </c>
      <c r="J197" s="773">
        <v>782555000</v>
      </c>
      <c r="K197" s="141" t="s">
        <v>1767</v>
      </c>
    </row>
    <row r="198" spans="2:12" ht="13.5" outlineLevel="1" x14ac:dyDescent="0.25">
      <c r="B198" s="1771" t="s">
        <v>165</v>
      </c>
      <c r="C198" s="773">
        <v>1163939000</v>
      </c>
      <c r="D198" s="773">
        <v>580094000</v>
      </c>
      <c r="E198" s="773">
        <v>279965000</v>
      </c>
      <c r="F198" s="773">
        <v>474421000</v>
      </c>
      <c r="G198" s="773">
        <v>499114000</v>
      </c>
      <c r="H198" s="773">
        <v>854811000</v>
      </c>
      <c r="I198" s="773">
        <v>746336000</v>
      </c>
      <c r="J198" s="773">
        <v>1319670000</v>
      </c>
      <c r="K198" s="141" t="s">
        <v>1768</v>
      </c>
    </row>
    <row r="199" spans="2:12" ht="13.5" outlineLevel="1" x14ac:dyDescent="0.25">
      <c r="B199" s="1771" t="s">
        <v>116</v>
      </c>
      <c r="C199" s="773">
        <v>0</v>
      </c>
      <c r="D199" s="773">
        <v>0</v>
      </c>
      <c r="E199" s="773">
        <v>0</v>
      </c>
      <c r="F199" s="773">
        <v>0</v>
      </c>
      <c r="G199" s="773">
        <v>0</v>
      </c>
      <c r="H199" s="773">
        <v>0</v>
      </c>
      <c r="I199" s="773">
        <v>0</v>
      </c>
      <c r="J199" s="773">
        <v>0</v>
      </c>
      <c r="K199" s="141" t="s">
        <v>1769</v>
      </c>
    </row>
    <row r="200" spans="2:12" ht="13.5" outlineLevel="1" x14ac:dyDescent="0.25">
      <c r="B200" s="1772" t="s">
        <v>166</v>
      </c>
      <c r="C200" s="774">
        <v>0</v>
      </c>
      <c r="D200" s="774">
        <v>0</v>
      </c>
      <c r="E200" s="774">
        <v>0</v>
      </c>
      <c r="F200" s="774">
        <v>0</v>
      </c>
      <c r="G200" s="774">
        <v>0</v>
      </c>
      <c r="H200" s="774">
        <v>0</v>
      </c>
      <c r="I200" s="774">
        <v>0</v>
      </c>
      <c r="J200" s="774">
        <v>0</v>
      </c>
      <c r="K200" s="141" t="s">
        <v>1770</v>
      </c>
    </row>
    <row r="201" spans="2:12" ht="13.5" outlineLevel="1" x14ac:dyDescent="0.25">
      <c r="B201" s="1772" t="s">
        <v>83</v>
      </c>
      <c r="C201" s="774">
        <v>0</v>
      </c>
      <c r="D201" s="774">
        <v>0</v>
      </c>
      <c r="E201" s="774">
        <v>0</v>
      </c>
      <c r="F201" s="774">
        <v>0</v>
      </c>
      <c r="G201" s="774">
        <v>0</v>
      </c>
      <c r="H201" s="774">
        <v>0</v>
      </c>
      <c r="I201" s="774">
        <v>0</v>
      </c>
      <c r="J201" s="774">
        <v>0</v>
      </c>
      <c r="K201" s="141" t="s">
        <v>1771</v>
      </c>
    </row>
    <row r="202" spans="2:12" ht="13.5" outlineLevel="1" x14ac:dyDescent="0.25">
      <c r="B202" s="1772" t="s">
        <v>117</v>
      </c>
      <c r="C202" s="774">
        <v>0</v>
      </c>
      <c r="D202" s="774">
        <v>0</v>
      </c>
      <c r="E202" s="774">
        <v>0</v>
      </c>
      <c r="F202" s="774">
        <v>0</v>
      </c>
      <c r="G202" s="774">
        <v>0</v>
      </c>
      <c r="H202" s="774">
        <v>0</v>
      </c>
      <c r="I202" s="774">
        <v>0</v>
      </c>
      <c r="J202" s="774">
        <v>0</v>
      </c>
      <c r="K202" s="141" t="s">
        <v>1772</v>
      </c>
    </row>
    <row r="203" spans="2:12" ht="13.5" outlineLevel="1" x14ac:dyDescent="0.25">
      <c r="B203" s="1771" t="s">
        <v>118</v>
      </c>
      <c r="C203" s="773">
        <v>0</v>
      </c>
      <c r="D203" s="773">
        <v>0</v>
      </c>
      <c r="E203" s="773">
        <v>0</v>
      </c>
      <c r="F203" s="773">
        <v>0</v>
      </c>
      <c r="G203" s="773">
        <v>0</v>
      </c>
      <c r="H203" s="773">
        <v>0</v>
      </c>
      <c r="I203" s="773">
        <v>0</v>
      </c>
      <c r="J203" s="773">
        <v>0</v>
      </c>
      <c r="K203" s="141" t="s">
        <v>1773</v>
      </c>
    </row>
    <row r="204" spans="2:12" ht="13.5" outlineLevel="1" x14ac:dyDescent="0.25">
      <c r="B204" s="1772" t="s">
        <v>167</v>
      </c>
      <c r="C204" s="774">
        <v>0</v>
      </c>
      <c r="D204" s="774">
        <v>0</v>
      </c>
      <c r="E204" s="774">
        <v>0</v>
      </c>
      <c r="F204" s="774">
        <v>0</v>
      </c>
      <c r="G204" s="774">
        <v>0</v>
      </c>
      <c r="H204" s="774">
        <v>0</v>
      </c>
      <c r="I204" s="774">
        <v>0</v>
      </c>
      <c r="J204" s="774">
        <v>0</v>
      </c>
      <c r="K204" s="141" t="s">
        <v>1774</v>
      </c>
    </row>
    <row r="205" spans="2:12" ht="13.5" outlineLevel="1" x14ac:dyDescent="0.25">
      <c r="B205" s="1772" t="s">
        <v>84</v>
      </c>
      <c r="C205" s="774">
        <v>0</v>
      </c>
      <c r="D205" s="774">
        <v>0</v>
      </c>
      <c r="E205" s="774">
        <v>0</v>
      </c>
      <c r="F205" s="774">
        <v>0</v>
      </c>
      <c r="G205" s="774">
        <v>0</v>
      </c>
      <c r="H205" s="774">
        <v>0</v>
      </c>
      <c r="I205" s="774">
        <v>0</v>
      </c>
      <c r="J205" s="774">
        <v>0</v>
      </c>
      <c r="K205" s="141" t="s">
        <v>1775</v>
      </c>
    </row>
    <row r="206" spans="2:12" ht="13.5" outlineLevel="1" x14ac:dyDescent="0.25">
      <c r="B206" s="1772" t="s">
        <v>119</v>
      </c>
      <c r="C206" s="774">
        <v>0</v>
      </c>
      <c r="D206" s="774">
        <v>0</v>
      </c>
      <c r="E206" s="774">
        <v>0</v>
      </c>
      <c r="F206" s="774">
        <v>0</v>
      </c>
      <c r="G206" s="774">
        <v>0</v>
      </c>
      <c r="H206" s="774">
        <v>0</v>
      </c>
      <c r="I206" s="774">
        <v>0</v>
      </c>
      <c r="J206" s="774">
        <v>0</v>
      </c>
      <c r="K206" s="141" t="s">
        <v>1776</v>
      </c>
    </row>
    <row r="207" spans="2:12" ht="13.5" outlineLevel="1" x14ac:dyDescent="0.25">
      <c r="B207" s="1771" t="s">
        <v>120</v>
      </c>
      <c r="C207" s="773">
        <v>0</v>
      </c>
      <c r="D207" s="773">
        <v>0</v>
      </c>
      <c r="E207" s="773">
        <v>0</v>
      </c>
      <c r="F207" s="773">
        <v>0</v>
      </c>
      <c r="G207" s="773">
        <v>0</v>
      </c>
      <c r="H207" s="773">
        <v>0</v>
      </c>
      <c r="I207" s="773">
        <v>0</v>
      </c>
      <c r="J207" s="773">
        <v>0</v>
      </c>
      <c r="K207" s="141" t="s">
        <v>1777</v>
      </c>
    </row>
    <row r="208" spans="2:12" ht="13.5" outlineLevel="1" x14ac:dyDescent="0.25">
      <c r="B208" s="1771" t="s">
        <v>168</v>
      </c>
      <c r="C208" s="773">
        <v>0</v>
      </c>
      <c r="D208" s="773">
        <v>0</v>
      </c>
      <c r="E208" s="773">
        <v>0</v>
      </c>
      <c r="F208" s="773">
        <v>0</v>
      </c>
      <c r="G208" s="773">
        <v>0</v>
      </c>
      <c r="H208" s="773">
        <v>0</v>
      </c>
      <c r="I208" s="773">
        <v>0</v>
      </c>
      <c r="J208" s="773">
        <v>0</v>
      </c>
      <c r="K208" s="141" t="s">
        <v>1778</v>
      </c>
    </row>
    <row r="209" spans="2:11" ht="13.5" outlineLevel="1" x14ac:dyDescent="0.25">
      <c r="B209" s="1771" t="s">
        <v>85</v>
      </c>
      <c r="C209" s="773">
        <v>0</v>
      </c>
      <c r="D209" s="773">
        <v>0</v>
      </c>
      <c r="E209" s="773">
        <v>0</v>
      </c>
      <c r="F209" s="773">
        <v>0</v>
      </c>
      <c r="G209" s="773">
        <v>0</v>
      </c>
      <c r="H209" s="773">
        <v>0</v>
      </c>
      <c r="I209" s="773">
        <v>0</v>
      </c>
      <c r="J209" s="773">
        <v>0</v>
      </c>
      <c r="K209" s="141" t="s">
        <v>1779</v>
      </c>
    </row>
    <row r="210" spans="2:11" ht="13.5" outlineLevel="1" x14ac:dyDescent="0.25">
      <c r="B210" s="1771" t="s">
        <v>86</v>
      </c>
      <c r="C210" s="773">
        <v>0</v>
      </c>
      <c r="D210" s="773">
        <v>0</v>
      </c>
      <c r="E210" s="773">
        <v>0</v>
      </c>
      <c r="F210" s="773">
        <v>0</v>
      </c>
      <c r="G210" s="773">
        <v>0</v>
      </c>
      <c r="H210" s="773">
        <v>0</v>
      </c>
      <c r="I210" s="773">
        <v>0</v>
      </c>
      <c r="J210" s="773">
        <v>0</v>
      </c>
      <c r="K210" s="141" t="s">
        <v>1780</v>
      </c>
    </row>
    <row r="211" spans="2:11" ht="13.5" outlineLevel="1" x14ac:dyDescent="0.25">
      <c r="B211" s="1771" t="s">
        <v>169</v>
      </c>
      <c r="C211" s="773">
        <v>0</v>
      </c>
      <c r="D211" s="773">
        <v>0</v>
      </c>
      <c r="E211" s="773">
        <v>0</v>
      </c>
      <c r="F211" s="773">
        <v>0</v>
      </c>
      <c r="G211" s="773">
        <v>0</v>
      </c>
      <c r="H211" s="773">
        <v>0</v>
      </c>
      <c r="I211" s="773">
        <v>0</v>
      </c>
      <c r="J211" s="773">
        <v>0</v>
      </c>
      <c r="K211" s="141" t="s">
        <v>1781</v>
      </c>
    </row>
    <row r="212" spans="2:11" ht="13.5" outlineLevel="1" x14ac:dyDescent="0.25">
      <c r="B212" s="1772" t="s">
        <v>17</v>
      </c>
      <c r="C212" s="774">
        <v>0</v>
      </c>
      <c r="D212" s="774">
        <v>0</v>
      </c>
      <c r="E212" s="774">
        <v>0</v>
      </c>
      <c r="F212" s="774">
        <v>0</v>
      </c>
      <c r="G212" s="774">
        <v>0</v>
      </c>
      <c r="H212" s="774">
        <v>0</v>
      </c>
      <c r="I212" s="774">
        <v>0</v>
      </c>
      <c r="J212" s="774">
        <v>0</v>
      </c>
      <c r="K212" s="141" t="s">
        <v>1782</v>
      </c>
    </row>
    <row r="213" spans="2:11" ht="13.5" outlineLevel="1" x14ac:dyDescent="0.25">
      <c r="B213" s="1772" t="s">
        <v>104</v>
      </c>
      <c r="C213" s="774">
        <v>0</v>
      </c>
      <c r="D213" s="774">
        <v>0</v>
      </c>
      <c r="E213" s="774">
        <v>0</v>
      </c>
      <c r="F213" s="774">
        <v>0</v>
      </c>
      <c r="G213" s="774">
        <v>0</v>
      </c>
      <c r="H213" s="774">
        <v>0</v>
      </c>
      <c r="I213" s="774">
        <v>0</v>
      </c>
      <c r="J213" s="774">
        <v>0</v>
      </c>
      <c r="K213" s="141" t="s">
        <v>1783</v>
      </c>
    </row>
    <row r="214" spans="2:11" ht="13.5" outlineLevel="1" x14ac:dyDescent="0.25">
      <c r="B214" s="1771" t="s">
        <v>36</v>
      </c>
      <c r="C214" s="773">
        <v>29121000</v>
      </c>
      <c r="D214" s="773">
        <v>576443000</v>
      </c>
      <c r="E214" s="773">
        <v>656638000</v>
      </c>
      <c r="F214" s="773">
        <v>615409000</v>
      </c>
      <c r="G214" s="773">
        <v>629372000</v>
      </c>
      <c r="H214" s="773">
        <v>744780000</v>
      </c>
      <c r="I214" s="773">
        <v>731622000</v>
      </c>
      <c r="J214" s="773">
        <v>785121000</v>
      </c>
      <c r="K214" s="141" t="s">
        <v>1784</v>
      </c>
    </row>
    <row r="215" spans="2:11" ht="13.5" outlineLevel="1" x14ac:dyDescent="0.25">
      <c r="B215" s="1771" t="s">
        <v>37</v>
      </c>
      <c r="C215" s="773">
        <v>22565000</v>
      </c>
      <c r="D215" s="773">
        <v>73417000</v>
      </c>
      <c r="E215" s="773">
        <v>107391000</v>
      </c>
      <c r="F215" s="773">
        <v>74322000</v>
      </c>
      <c r="G215" s="773">
        <v>77684000</v>
      </c>
      <c r="H215" s="773">
        <v>122085000</v>
      </c>
      <c r="I215" s="773">
        <v>93644000</v>
      </c>
      <c r="J215" s="773">
        <v>-107872000</v>
      </c>
      <c r="K215" s="141" t="s">
        <v>1785</v>
      </c>
    </row>
    <row r="216" spans="2:11" ht="13.5" outlineLevel="1" x14ac:dyDescent="0.25">
      <c r="B216" s="1772" t="s">
        <v>38</v>
      </c>
      <c r="C216" s="774">
        <v>29693000</v>
      </c>
      <c r="D216" s="774">
        <v>45910000</v>
      </c>
      <c r="E216" s="774">
        <v>83492000</v>
      </c>
      <c r="F216" s="774">
        <v>71996000</v>
      </c>
      <c r="G216" s="774">
        <v>85824000</v>
      </c>
      <c r="H216" s="774">
        <v>120939000</v>
      </c>
      <c r="I216" s="774">
        <v>80892000</v>
      </c>
      <c r="J216" s="774">
        <v>97286000</v>
      </c>
      <c r="K216" s="141" t="s">
        <v>1786</v>
      </c>
    </row>
    <row r="217" spans="2:11" ht="13.5" outlineLevel="1" x14ac:dyDescent="0.25">
      <c r="B217" s="1772" t="s">
        <v>170</v>
      </c>
      <c r="C217" s="774">
        <v>7128000</v>
      </c>
      <c r="D217" s="774">
        <v>-27507000</v>
      </c>
      <c r="E217" s="774">
        <v>-23899000</v>
      </c>
      <c r="F217" s="774">
        <v>-2326000</v>
      </c>
      <c r="G217" s="774">
        <v>8140000</v>
      </c>
      <c r="H217" s="774">
        <v>-1146000</v>
      </c>
      <c r="I217" s="774">
        <v>-12752000</v>
      </c>
      <c r="J217" s="774">
        <v>205158000</v>
      </c>
      <c r="K217" s="141" t="s">
        <v>1787</v>
      </c>
    </row>
    <row r="218" spans="2:11" ht="13.5" outlineLevel="1" x14ac:dyDescent="0.25">
      <c r="B218" s="1771" t="s">
        <v>171</v>
      </c>
      <c r="C218" s="773">
        <v>0</v>
      </c>
      <c r="D218" s="773">
        <v>0</v>
      </c>
      <c r="E218" s="773">
        <v>0</v>
      </c>
      <c r="F218" s="773">
        <v>0</v>
      </c>
      <c r="G218" s="773">
        <v>0</v>
      </c>
      <c r="H218" s="773">
        <v>0</v>
      </c>
      <c r="I218" s="773">
        <v>0</v>
      </c>
      <c r="J218" s="773">
        <v>0</v>
      </c>
      <c r="K218" s="141" t="s">
        <v>1788</v>
      </c>
    </row>
    <row r="219" spans="2:11" ht="13.5" outlineLevel="1" x14ac:dyDescent="0.25">
      <c r="B219" s="1771" t="s">
        <v>87</v>
      </c>
      <c r="C219" s="773">
        <v>0</v>
      </c>
      <c r="D219" s="773">
        <v>0</v>
      </c>
      <c r="E219" s="773">
        <v>0</v>
      </c>
      <c r="F219" s="773">
        <v>0</v>
      </c>
      <c r="G219" s="773">
        <v>0</v>
      </c>
      <c r="H219" s="773">
        <v>0</v>
      </c>
      <c r="I219" s="773">
        <v>0</v>
      </c>
      <c r="J219" s="773">
        <v>0</v>
      </c>
      <c r="K219" s="141" t="s">
        <v>1789</v>
      </c>
    </row>
    <row r="220" spans="2:11" ht="13.5" outlineLevel="1" x14ac:dyDescent="0.25">
      <c r="B220" s="1771" t="s">
        <v>78</v>
      </c>
      <c r="C220" s="773">
        <v>0</v>
      </c>
      <c r="D220" s="773">
        <v>0</v>
      </c>
      <c r="E220" s="773">
        <v>0</v>
      </c>
      <c r="F220" s="773">
        <v>0</v>
      </c>
      <c r="G220" s="773">
        <v>0</v>
      </c>
      <c r="H220" s="773">
        <v>0</v>
      </c>
      <c r="I220" s="773">
        <v>0</v>
      </c>
      <c r="J220" s="773">
        <v>0</v>
      </c>
      <c r="K220" s="141" t="s">
        <v>1738</v>
      </c>
    </row>
    <row r="221" spans="2:11" ht="13.5" outlineLevel="1" x14ac:dyDescent="0.25">
      <c r="B221" s="1771" t="s">
        <v>88</v>
      </c>
      <c r="C221" s="773">
        <v>0</v>
      </c>
      <c r="D221" s="773">
        <v>0</v>
      </c>
      <c r="E221" s="773">
        <v>0</v>
      </c>
      <c r="F221" s="773">
        <v>0</v>
      </c>
      <c r="G221" s="773">
        <v>0</v>
      </c>
      <c r="H221" s="773">
        <v>0</v>
      </c>
      <c r="I221" s="773">
        <v>0</v>
      </c>
      <c r="J221" s="773">
        <v>0</v>
      </c>
      <c r="K221" s="141" t="s">
        <v>1790</v>
      </c>
    </row>
    <row r="222" spans="2:11" ht="13.5" outlineLevel="1" x14ac:dyDescent="0.25">
      <c r="B222" s="1771" t="s">
        <v>89</v>
      </c>
      <c r="C222" s="773">
        <v>0</v>
      </c>
      <c r="D222" s="773">
        <v>0</v>
      </c>
      <c r="E222" s="773">
        <v>0</v>
      </c>
      <c r="F222" s="773">
        <v>0</v>
      </c>
      <c r="G222" s="773">
        <v>0</v>
      </c>
      <c r="H222" s="773">
        <v>0</v>
      </c>
      <c r="I222" s="773">
        <v>0</v>
      </c>
      <c r="J222" s="773">
        <v>0</v>
      </c>
      <c r="K222" s="141" t="s">
        <v>1791</v>
      </c>
    </row>
    <row r="223" spans="2:11" ht="13.5" outlineLevel="1" x14ac:dyDescent="0.25">
      <c r="B223" s="1771" t="s">
        <v>172</v>
      </c>
      <c r="C223" s="773">
        <v>0</v>
      </c>
      <c r="D223" s="773">
        <v>0</v>
      </c>
      <c r="E223" s="773">
        <v>0</v>
      </c>
      <c r="F223" s="773">
        <v>0</v>
      </c>
      <c r="G223" s="773">
        <v>0</v>
      </c>
      <c r="H223" s="773">
        <v>0</v>
      </c>
      <c r="I223" s="773">
        <v>0</v>
      </c>
      <c r="J223" s="773">
        <v>0</v>
      </c>
      <c r="K223" s="141" t="s">
        <v>1792</v>
      </c>
    </row>
    <row r="224" spans="2:11" ht="13.5" outlineLevel="1" x14ac:dyDescent="0.25">
      <c r="B224" s="1771" t="s">
        <v>1</v>
      </c>
      <c r="C224" s="773">
        <v>6556000</v>
      </c>
      <c r="D224" s="773">
        <v>503026000</v>
      </c>
      <c r="E224" s="773">
        <v>549247000</v>
      </c>
      <c r="F224" s="773">
        <v>541087000</v>
      </c>
      <c r="G224" s="773">
        <v>551688000</v>
      </c>
      <c r="H224" s="773">
        <v>622695000</v>
      </c>
      <c r="I224" s="773">
        <v>637978000</v>
      </c>
      <c r="J224" s="773">
        <v>892993000</v>
      </c>
      <c r="K224" s="141" t="s">
        <v>1793</v>
      </c>
    </row>
    <row r="225" spans="2:11" ht="13.5" outlineLevel="1" x14ac:dyDescent="0.25">
      <c r="B225" s="1771" t="s">
        <v>90</v>
      </c>
      <c r="C225" s="773">
        <v>-33238000</v>
      </c>
      <c r="D225" s="773">
        <v>17616000</v>
      </c>
      <c r="E225" s="773">
        <v>32154000</v>
      </c>
      <c r="F225" s="773">
        <v>34581000</v>
      </c>
      <c r="G225" s="773">
        <v>26924000</v>
      </c>
      <c r="H225" s="773">
        <v>24850000</v>
      </c>
      <c r="I225" s="773">
        <v>20894000</v>
      </c>
      <c r="J225" s="773">
        <v>1852000</v>
      </c>
      <c r="K225" s="141" t="s">
        <v>1794</v>
      </c>
    </row>
    <row r="226" spans="2:11" ht="14.25" outlineLevel="1" thickBot="1" x14ac:dyDescent="0.3">
      <c r="B226" s="1773" t="s">
        <v>91</v>
      </c>
      <c r="C226" s="776">
        <v>39794000</v>
      </c>
      <c r="D226" s="776">
        <v>485410000</v>
      </c>
      <c r="E226" s="776">
        <v>517093000</v>
      </c>
      <c r="F226" s="776">
        <v>506506000</v>
      </c>
      <c r="G226" s="776">
        <v>524764000</v>
      </c>
      <c r="H226" s="776">
        <v>597845000</v>
      </c>
      <c r="I226" s="776">
        <v>617084000</v>
      </c>
      <c r="J226" s="776">
        <v>891141000</v>
      </c>
      <c r="K226" s="141" t="s">
        <v>1795</v>
      </c>
    </row>
    <row r="227" spans="2:11" outlineLevel="1" x14ac:dyDescent="0.25"/>
    <row r="228" spans="2:11" s="780" customFormat="1" outlineLevel="1" x14ac:dyDescent="0.25">
      <c r="B228" s="1775" t="s">
        <v>223</v>
      </c>
      <c r="C228" s="779">
        <v>166090000</v>
      </c>
      <c r="D228" s="779">
        <v>181553000</v>
      </c>
      <c r="E228" s="779">
        <v>192538000</v>
      </c>
      <c r="F228" s="779">
        <v>217834000</v>
      </c>
      <c r="G228" s="779">
        <v>260788000</v>
      </c>
      <c r="H228" s="779">
        <v>302181000</v>
      </c>
      <c r="I228" s="779">
        <v>346293000</v>
      </c>
      <c r="J228" s="779">
        <v>369823000</v>
      </c>
      <c r="K228" s="1775" t="s">
        <v>1796</v>
      </c>
    </row>
    <row r="229" spans="2:11" s="780" customFormat="1" ht="13.5" outlineLevel="1" thickBot="1" x14ac:dyDescent="0.3">
      <c r="B229" s="781" t="s">
        <v>242</v>
      </c>
      <c r="C229" s="776">
        <v>247774000</v>
      </c>
      <c r="D229" s="776">
        <v>201105000</v>
      </c>
      <c r="E229" s="776">
        <v>195540000</v>
      </c>
      <c r="F229" s="776">
        <v>352040000</v>
      </c>
      <c r="G229" s="776">
        <v>470855000</v>
      </c>
      <c r="H229" s="776">
        <v>507715000</v>
      </c>
      <c r="I229" s="776">
        <v>457092000</v>
      </c>
      <c r="J229" s="776">
        <v>659336000</v>
      </c>
      <c r="K229" s="781" t="s">
        <v>1797</v>
      </c>
    </row>
    <row r="230" spans="2:11" outlineLevel="1" x14ac:dyDescent="0.25"/>
    <row r="231" spans="2:11" outlineLevel="1" x14ac:dyDescent="0.25">
      <c r="C231" s="782" t="s">
        <v>268</v>
      </c>
    </row>
    <row r="232" spans="2:11" outlineLevel="1" x14ac:dyDescent="0.25"/>
    <row r="234" spans="2:11" ht="15" x14ac:dyDescent="0.25">
      <c r="B234" s="4" t="s">
        <v>858</v>
      </c>
      <c r="C234" s="774">
        <f>+C114+C115+C119</f>
        <v>399960000</v>
      </c>
      <c r="D234" s="774">
        <f t="shared" ref="D234:J234" si="0">+D114+D115+D119</f>
        <v>675728000</v>
      </c>
      <c r="E234" s="774">
        <f t="shared" si="0"/>
        <v>675728000</v>
      </c>
      <c r="F234" s="774">
        <f t="shared" si="0"/>
        <v>675728000</v>
      </c>
      <c r="G234" s="774">
        <f t="shared" si="0"/>
        <v>675728000</v>
      </c>
      <c r="H234" s="774">
        <f t="shared" si="0"/>
        <v>675728000</v>
      </c>
      <c r="I234" s="774">
        <f t="shared" si="0"/>
        <v>675728000</v>
      </c>
      <c r="J234" s="774">
        <f t="shared" si="0"/>
        <v>675728000</v>
      </c>
    </row>
    <row r="235" spans="2:11" ht="15" x14ac:dyDescent="0.25">
      <c r="B235" s="4" t="s">
        <v>842</v>
      </c>
      <c r="C235" s="774">
        <f>+C118+C116+C123+C128+C129+C139+C135+C122+C121+C133</f>
        <v>797609000</v>
      </c>
      <c r="D235" s="774">
        <f t="shared" ref="D235:J235" si="1">+D118+D116+D123+D128+D129+D139+D135+D122+D121+D133</f>
        <v>788395000</v>
      </c>
      <c r="E235" s="774">
        <f t="shared" si="1"/>
        <v>1011254000</v>
      </c>
      <c r="F235" s="774">
        <f t="shared" si="1"/>
        <v>957127000</v>
      </c>
      <c r="G235" s="774">
        <f t="shared" si="1"/>
        <v>1026775000</v>
      </c>
      <c r="H235" s="774">
        <f t="shared" si="1"/>
        <v>1222169000</v>
      </c>
      <c r="I235" s="774">
        <f t="shared" si="1"/>
        <v>1241059000</v>
      </c>
      <c r="J235" s="774">
        <f t="shared" si="1"/>
        <v>1244266000</v>
      </c>
    </row>
    <row r="236" spans="2:11" ht="15" x14ac:dyDescent="0.25">
      <c r="B236" s="4" t="s">
        <v>843</v>
      </c>
      <c r="C236" s="774">
        <f>+C130+C131</f>
        <v>39794000</v>
      </c>
      <c r="D236" s="774">
        <f t="shared" ref="D236:J236" si="2">+D130+D131</f>
        <v>485410000</v>
      </c>
      <c r="E236" s="774">
        <f t="shared" si="2"/>
        <v>517093000</v>
      </c>
      <c r="F236" s="774">
        <f t="shared" si="2"/>
        <v>506506000</v>
      </c>
      <c r="G236" s="774">
        <f t="shared" si="2"/>
        <v>524764000</v>
      </c>
      <c r="H236" s="774">
        <f t="shared" si="2"/>
        <v>597845000</v>
      </c>
      <c r="I236" s="774">
        <f t="shared" si="2"/>
        <v>617084000</v>
      </c>
      <c r="J236" s="774">
        <f t="shared" si="2"/>
        <v>891141000</v>
      </c>
    </row>
    <row r="237" spans="2:11" ht="15" x14ac:dyDescent="0.25">
      <c r="B237" s="4" t="s">
        <v>856</v>
      </c>
      <c r="C237" s="774">
        <f>+C241-C236-C235-C234</f>
        <v>700701000</v>
      </c>
      <c r="D237" s="774">
        <f t="shared" ref="D237:J237" si="3">+D241-D236-D235-D234</f>
        <v>750588000</v>
      </c>
      <c r="E237" s="774">
        <f t="shared" si="3"/>
        <v>1137477000</v>
      </c>
      <c r="F237" s="774">
        <f t="shared" si="3"/>
        <v>1406231000</v>
      </c>
      <c r="G237" s="774">
        <f t="shared" si="3"/>
        <v>1614385000</v>
      </c>
      <c r="H237" s="774">
        <f t="shared" si="3"/>
        <v>1567108000</v>
      </c>
      <c r="I237" s="774">
        <f t="shared" si="3"/>
        <v>1821754000</v>
      </c>
      <c r="J237" s="774">
        <f t="shared" si="3"/>
        <v>1845876000</v>
      </c>
    </row>
    <row r="238" spans="2:11" x14ac:dyDescent="0.25">
      <c r="B238" s="141" t="s">
        <v>182</v>
      </c>
      <c r="C238" s="774">
        <f t="shared" ref="C238:J238" si="4">+SUM(C234:C237)</f>
        <v>1938064000</v>
      </c>
      <c r="D238" s="774">
        <f t="shared" si="4"/>
        <v>2700121000</v>
      </c>
      <c r="E238" s="774">
        <f t="shared" si="4"/>
        <v>3341552000</v>
      </c>
      <c r="F238" s="774">
        <f t="shared" si="4"/>
        <v>3545592000</v>
      </c>
      <c r="G238" s="774">
        <f t="shared" si="4"/>
        <v>3841652000</v>
      </c>
      <c r="H238" s="774">
        <f t="shared" si="4"/>
        <v>4062850000</v>
      </c>
      <c r="I238" s="774">
        <f t="shared" si="4"/>
        <v>4355625000</v>
      </c>
      <c r="J238" s="774">
        <f t="shared" si="4"/>
        <v>4657011000</v>
      </c>
    </row>
    <row r="239" spans="2:11" s="780" customFormat="1" x14ac:dyDescent="0.25">
      <c r="B239" s="780" t="s">
        <v>221</v>
      </c>
      <c r="C239" s="773">
        <f t="shared" ref="C239:J239" si="5">+C238-C113</f>
        <v>0</v>
      </c>
      <c r="D239" s="773">
        <f t="shared" si="5"/>
        <v>0</v>
      </c>
      <c r="E239" s="773">
        <f t="shared" si="5"/>
        <v>0</v>
      </c>
      <c r="F239" s="773">
        <f t="shared" si="5"/>
        <v>0</v>
      </c>
      <c r="G239" s="773">
        <f t="shared" si="5"/>
        <v>0</v>
      </c>
      <c r="H239" s="773">
        <f t="shared" si="5"/>
        <v>0</v>
      </c>
      <c r="I239" s="773">
        <f t="shared" si="5"/>
        <v>0</v>
      </c>
      <c r="J239" s="773">
        <f t="shared" si="5"/>
        <v>0</v>
      </c>
    </row>
    <row r="241" spans="3:10" x14ac:dyDescent="0.25">
      <c r="C241" s="774">
        <f>+C113-C146</f>
        <v>1938064000</v>
      </c>
      <c r="D241" s="774">
        <f t="shared" ref="D241:J241" si="6">+D113-D146</f>
        <v>2700121000</v>
      </c>
      <c r="E241" s="774">
        <f t="shared" si="6"/>
        <v>3341552000</v>
      </c>
      <c r="F241" s="774">
        <f t="shared" si="6"/>
        <v>3545592000</v>
      </c>
      <c r="G241" s="774">
        <f t="shared" si="6"/>
        <v>3841652000</v>
      </c>
      <c r="H241" s="774">
        <f t="shared" si="6"/>
        <v>4062850000</v>
      </c>
      <c r="I241" s="774">
        <f t="shared" si="6"/>
        <v>4355625000</v>
      </c>
      <c r="J241" s="774">
        <f t="shared" si="6"/>
        <v>4657011000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244"/>
  <sheetViews>
    <sheetView topLeftCell="A16" zoomScale="74" zoomScaleNormal="74" workbookViewId="0">
      <selection activeCell="F63" sqref="F63"/>
    </sheetView>
  </sheetViews>
  <sheetFormatPr defaultColWidth="8.85546875" defaultRowHeight="15" x14ac:dyDescent="0.25"/>
  <cols>
    <col min="1" max="1" width="5.5703125" style="4" customWidth="1"/>
    <col min="2" max="2" width="4" style="99" customWidth="1"/>
    <col min="3" max="3" width="5.7109375" style="715" customWidth="1"/>
    <col min="4" max="4" width="44.7109375" style="99" customWidth="1"/>
    <col min="5" max="6" width="12.28515625" style="248" customWidth="1"/>
    <col min="7" max="8" width="12.28515625" style="4" customWidth="1"/>
    <col min="9" max="9" width="3.85546875" style="4" customWidth="1"/>
    <col min="10" max="10" width="5.5703125" style="99" customWidth="1"/>
    <col min="11" max="11" width="5.7109375" style="99" customWidth="1"/>
    <col min="12" max="12" width="53.5703125" style="99" customWidth="1"/>
    <col min="13" max="13" width="13.42578125" style="99" customWidth="1"/>
    <col min="14" max="16" width="13.42578125" style="772" customWidth="1"/>
    <col min="17" max="16384" width="8.85546875" style="4"/>
  </cols>
  <sheetData>
    <row r="1" spans="2:16" x14ac:dyDescent="0.25">
      <c r="M1" s="716"/>
      <c r="N1" s="716"/>
      <c r="O1" s="716"/>
      <c r="P1" s="716"/>
    </row>
    <row r="2" spans="2:16" ht="21" x14ac:dyDescent="0.35">
      <c r="B2" s="717" t="s">
        <v>587</v>
      </c>
      <c r="C2" s="718"/>
      <c r="D2" s="719"/>
      <c r="E2" s="720"/>
      <c r="F2" s="720"/>
      <c r="G2" s="720"/>
      <c r="H2" s="721"/>
      <c r="J2" s="722" t="s">
        <v>768</v>
      </c>
      <c r="K2" s="723"/>
      <c r="L2" s="723"/>
      <c r="M2" s="723"/>
      <c r="N2" s="724"/>
      <c r="O2" s="724"/>
      <c r="P2" s="717"/>
    </row>
    <row r="3" spans="2:16" ht="8.4499999999999993" customHeight="1" x14ac:dyDescent="0.3">
      <c r="B3" s="725"/>
      <c r="C3" s="726"/>
      <c r="D3" s="727"/>
      <c r="E3" s="728"/>
      <c r="F3" s="728"/>
      <c r="J3" s="729"/>
      <c r="K3" s="730"/>
      <c r="L3" s="730"/>
      <c r="M3" s="730"/>
      <c r="N3" s="731"/>
      <c r="O3" s="731"/>
      <c r="P3" s="731"/>
    </row>
    <row r="4" spans="2:16" ht="15.75" x14ac:dyDescent="0.25">
      <c r="B4" s="732"/>
      <c r="C4" s="733"/>
      <c r="D4" s="734"/>
      <c r="E4" s="735">
        <v>2012</v>
      </c>
      <c r="F4" s="735">
        <v>2013</v>
      </c>
      <c r="G4" s="735">
        <v>2014</v>
      </c>
      <c r="H4" s="735">
        <v>2015</v>
      </c>
      <c r="J4" s="736"/>
      <c r="K4" s="737" t="s">
        <v>588</v>
      </c>
      <c r="L4" s="738"/>
      <c r="M4" s="739">
        <v>2012</v>
      </c>
      <c r="N4" s="739">
        <v>2013</v>
      </c>
      <c r="O4" s="739">
        <v>2014</v>
      </c>
      <c r="P4" s="739">
        <v>2015</v>
      </c>
    </row>
    <row r="5" spans="2:16" x14ac:dyDescent="0.25">
      <c r="B5" s="740">
        <v>60</v>
      </c>
      <c r="C5" s="741" t="s">
        <v>545</v>
      </c>
      <c r="D5" s="741"/>
      <c r="E5" s="742"/>
      <c r="F5" s="742"/>
      <c r="G5" s="742"/>
      <c r="H5" s="742"/>
      <c r="J5" s="743">
        <v>1</v>
      </c>
      <c r="K5" s="737" t="s">
        <v>589</v>
      </c>
      <c r="L5" s="738"/>
      <c r="M5" s="744"/>
      <c r="N5" s="744"/>
      <c r="O5" s="744"/>
      <c r="P5" s="744"/>
    </row>
    <row r="6" spans="2:16" x14ac:dyDescent="0.25">
      <c r="B6" s="745"/>
      <c r="C6" s="746">
        <v>600</v>
      </c>
      <c r="D6" s="747" t="s">
        <v>151</v>
      </c>
      <c r="E6" s="748"/>
      <c r="F6" s="748"/>
      <c r="G6" s="748"/>
      <c r="H6" s="748"/>
      <c r="J6" s="749">
        <v>10</v>
      </c>
      <c r="K6" s="750" t="s">
        <v>92</v>
      </c>
      <c r="L6" s="751"/>
      <c r="M6" s="752"/>
      <c r="N6" s="752"/>
      <c r="O6" s="752"/>
      <c r="P6" s="752"/>
    </row>
    <row r="7" spans="2:16" x14ac:dyDescent="0.25">
      <c r="B7" s="753"/>
      <c r="C7" s="754">
        <v>601</v>
      </c>
      <c r="D7" s="754" t="s">
        <v>152</v>
      </c>
      <c r="E7" s="748"/>
      <c r="F7" s="748"/>
      <c r="G7" s="748"/>
      <c r="H7" s="748"/>
      <c r="J7" s="755"/>
      <c r="K7" s="756">
        <v>100</v>
      </c>
      <c r="L7" s="757" t="s">
        <v>590</v>
      </c>
      <c r="M7" s="758"/>
      <c r="N7" s="758"/>
      <c r="O7" s="758"/>
      <c r="P7" s="758"/>
    </row>
    <row r="8" spans="2:16" x14ac:dyDescent="0.25">
      <c r="B8" s="753"/>
      <c r="C8" s="754">
        <v>602</v>
      </c>
      <c r="D8" s="754" t="s">
        <v>546</v>
      </c>
      <c r="E8" s="748"/>
      <c r="F8" s="748"/>
      <c r="G8" s="748"/>
      <c r="H8" s="748"/>
      <c r="J8" s="755"/>
      <c r="K8" s="756">
        <v>101</v>
      </c>
      <c r="L8" s="757" t="s">
        <v>591</v>
      </c>
      <c r="M8" s="758"/>
      <c r="N8" s="758"/>
      <c r="O8" s="758"/>
      <c r="P8" s="758"/>
    </row>
    <row r="9" spans="2:16" x14ac:dyDescent="0.25">
      <c r="B9" s="740">
        <v>61</v>
      </c>
      <c r="C9" s="741" t="s">
        <v>547</v>
      </c>
      <c r="D9" s="741"/>
      <c r="E9" s="742"/>
      <c r="F9" s="742"/>
      <c r="G9" s="742"/>
      <c r="H9" s="742"/>
      <c r="J9" s="755"/>
      <c r="K9" s="756">
        <v>102</v>
      </c>
      <c r="L9" s="757" t="s">
        <v>592</v>
      </c>
      <c r="M9" s="758"/>
      <c r="N9" s="758"/>
      <c r="O9" s="758"/>
      <c r="P9" s="758"/>
    </row>
    <row r="10" spans="2:16" x14ac:dyDescent="0.25">
      <c r="B10" s="753"/>
      <c r="C10" s="754">
        <v>610</v>
      </c>
      <c r="D10" s="754" t="s">
        <v>548</v>
      </c>
      <c r="E10" s="748"/>
      <c r="F10" s="748"/>
      <c r="G10" s="748"/>
      <c r="H10" s="748"/>
      <c r="J10" s="755"/>
      <c r="K10" s="756">
        <v>103</v>
      </c>
      <c r="L10" s="757" t="s">
        <v>593</v>
      </c>
      <c r="M10" s="758"/>
      <c r="N10" s="758"/>
      <c r="O10" s="758"/>
      <c r="P10" s="758"/>
    </row>
    <row r="11" spans="2:16" x14ac:dyDescent="0.25">
      <c r="B11" s="753"/>
      <c r="C11" s="754">
        <v>611</v>
      </c>
      <c r="D11" s="754" t="s">
        <v>549</v>
      </c>
      <c r="E11" s="748"/>
      <c r="F11" s="748"/>
      <c r="G11" s="748"/>
      <c r="H11" s="748"/>
      <c r="J11" s="755"/>
      <c r="K11" s="756">
        <v>108</v>
      </c>
      <c r="L11" s="757" t="s">
        <v>594</v>
      </c>
      <c r="M11" s="758"/>
      <c r="N11" s="758"/>
      <c r="O11" s="758"/>
      <c r="P11" s="758"/>
    </row>
    <row r="12" spans="2:16" x14ac:dyDescent="0.25">
      <c r="B12" s="753"/>
      <c r="C12" s="754">
        <v>612</v>
      </c>
      <c r="D12" s="754" t="s">
        <v>550</v>
      </c>
      <c r="E12" s="748"/>
      <c r="F12" s="748"/>
      <c r="G12" s="748"/>
      <c r="H12" s="748"/>
      <c r="J12" s="749">
        <v>11</v>
      </c>
      <c r="K12" s="750" t="s">
        <v>41</v>
      </c>
      <c r="L12" s="751"/>
      <c r="M12" s="752"/>
      <c r="N12" s="752"/>
      <c r="O12" s="752"/>
      <c r="P12" s="752"/>
    </row>
    <row r="13" spans="2:16" x14ac:dyDescent="0.25">
      <c r="B13" s="740"/>
      <c r="C13" s="741" t="s">
        <v>284</v>
      </c>
      <c r="D13" s="741"/>
      <c r="E13" s="742"/>
      <c r="F13" s="742"/>
      <c r="G13" s="742"/>
      <c r="H13" s="742"/>
      <c r="J13" s="755"/>
      <c r="K13" s="756">
        <v>110</v>
      </c>
      <c r="L13" s="757" t="s">
        <v>595</v>
      </c>
      <c r="M13" s="758"/>
      <c r="N13" s="758"/>
      <c r="O13" s="758"/>
      <c r="P13" s="758"/>
    </row>
    <row r="14" spans="2:16" x14ac:dyDescent="0.25">
      <c r="B14" s="740">
        <v>62</v>
      </c>
      <c r="C14" s="741" t="s">
        <v>551</v>
      </c>
      <c r="D14" s="741"/>
      <c r="E14" s="742"/>
      <c r="F14" s="742"/>
      <c r="G14" s="742"/>
      <c r="H14" s="742"/>
      <c r="J14" s="755"/>
      <c r="K14" s="756">
        <v>111</v>
      </c>
      <c r="L14" s="757" t="s">
        <v>596</v>
      </c>
      <c r="M14" s="758"/>
      <c r="N14" s="758"/>
      <c r="O14" s="758"/>
      <c r="P14" s="758"/>
    </row>
    <row r="15" spans="2:16" x14ac:dyDescent="0.25">
      <c r="B15" s="753"/>
      <c r="C15" s="754">
        <v>620</v>
      </c>
      <c r="D15" s="754" t="s">
        <v>552</v>
      </c>
      <c r="E15" s="748"/>
      <c r="F15" s="748"/>
      <c r="G15" s="748"/>
      <c r="H15" s="748"/>
      <c r="J15" s="755"/>
      <c r="K15" s="756">
        <v>112</v>
      </c>
      <c r="L15" s="757" t="s">
        <v>597</v>
      </c>
      <c r="M15" s="758"/>
      <c r="N15" s="758"/>
      <c r="O15" s="758"/>
      <c r="P15" s="758"/>
    </row>
    <row r="16" spans="2:16" x14ac:dyDescent="0.25">
      <c r="B16" s="753"/>
      <c r="C16" s="754">
        <v>621</v>
      </c>
      <c r="D16" s="754" t="s">
        <v>553</v>
      </c>
      <c r="E16" s="748"/>
      <c r="F16" s="748"/>
      <c r="G16" s="748"/>
      <c r="H16" s="748"/>
      <c r="J16" s="755"/>
      <c r="K16" s="756">
        <v>118</v>
      </c>
      <c r="L16" s="757" t="s">
        <v>598</v>
      </c>
      <c r="M16" s="758"/>
      <c r="N16" s="758"/>
      <c r="O16" s="758"/>
      <c r="P16" s="758"/>
    </row>
    <row r="17" spans="2:16" x14ac:dyDescent="0.25">
      <c r="B17" s="753"/>
      <c r="C17" s="754">
        <v>622</v>
      </c>
      <c r="D17" s="754" t="s">
        <v>554</v>
      </c>
      <c r="E17" s="748"/>
      <c r="F17" s="748"/>
      <c r="G17" s="748"/>
      <c r="H17" s="748"/>
      <c r="J17" s="755"/>
      <c r="K17" s="756">
        <v>119</v>
      </c>
      <c r="L17" s="757" t="s">
        <v>599</v>
      </c>
      <c r="M17" s="758"/>
      <c r="N17" s="758"/>
      <c r="O17" s="758"/>
      <c r="P17" s="758"/>
    </row>
    <row r="18" spans="2:16" x14ac:dyDescent="0.25">
      <c r="B18" s="745"/>
      <c r="C18" s="746">
        <v>623</v>
      </c>
      <c r="D18" s="747" t="s">
        <v>555</v>
      </c>
      <c r="E18" s="748"/>
      <c r="F18" s="748"/>
      <c r="G18" s="748"/>
      <c r="H18" s="748"/>
      <c r="J18" s="749">
        <v>12</v>
      </c>
      <c r="K18" s="750" t="s">
        <v>600</v>
      </c>
      <c r="L18" s="751"/>
      <c r="M18" s="752"/>
      <c r="N18" s="752"/>
      <c r="O18" s="752"/>
      <c r="P18" s="752"/>
    </row>
    <row r="19" spans="2:16" x14ac:dyDescent="0.25">
      <c r="B19" s="740"/>
      <c r="C19" s="741" t="s">
        <v>556</v>
      </c>
      <c r="D19" s="741"/>
      <c r="E19" s="742"/>
      <c r="F19" s="742"/>
      <c r="G19" s="742"/>
      <c r="H19" s="742"/>
      <c r="J19" s="755"/>
      <c r="K19" s="756">
        <v>120</v>
      </c>
      <c r="L19" s="757" t="s">
        <v>601</v>
      </c>
      <c r="M19" s="758"/>
      <c r="N19" s="758"/>
      <c r="O19" s="758"/>
      <c r="P19" s="758"/>
    </row>
    <row r="20" spans="2:16" x14ac:dyDescent="0.25">
      <c r="B20" s="740">
        <v>63</v>
      </c>
      <c r="C20" s="741" t="s">
        <v>557</v>
      </c>
      <c r="D20" s="741"/>
      <c r="E20" s="742"/>
      <c r="F20" s="742"/>
      <c r="G20" s="742"/>
      <c r="H20" s="742"/>
      <c r="J20" s="755"/>
      <c r="K20" s="756">
        <v>121</v>
      </c>
      <c r="L20" s="757" t="s">
        <v>602</v>
      </c>
      <c r="M20" s="758"/>
      <c r="N20" s="758"/>
      <c r="O20" s="758"/>
      <c r="P20" s="758"/>
    </row>
    <row r="21" spans="2:16" x14ac:dyDescent="0.25">
      <c r="B21" s="753"/>
      <c r="C21" s="754">
        <v>630</v>
      </c>
      <c r="D21" s="754" t="s">
        <v>558</v>
      </c>
      <c r="E21" s="748"/>
      <c r="F21" s="748"/>
      <c r="G21" s="748"/>
      <c r="H21" s="748"/>
      <c r="J21" s="755"/>
      <c r="K21" s="756">
        <v>122</v>
      </c>
      <c r="L21" s="757" t="s">
        <v>603</v>
      </c>
      <c r="M21" s="758"/>
      <c r="N21" s="758"/>
      <c r="O21" s="758"/>
      <c r="P21" s="758"/>
    </row>
    <row r="22" spans="2:16" x14ac:dyDescent="0.25">
      <c r="B22" s="753"/>
      <c r="C22" s="754">
        <v>631</v>
      </c>
      <c r="D22" s="754" t="s">
        <v>559</v>
      </c>
      <c r="E22" s="748"/>
      <c r="F22" s="748"/>
      <c r="G22" s="748"/>
      <c r="H22" s="748"/>
      <c r="J22" s="755"/>
      <c r="K22" s="756">
        <v>126</v>
      </c>
      <c r="L22" s="757" t="s">
        <v>604</v>
      </c>
      <c r="M22" s="758"/>
      <c r="N22" s="758"/>
      <c r="O22" s="758"/>
      <c r="P22" s="758"/>
    </row>
    <row r="23" spans="2:16" x14ac:dyDescent="0.25">
      <c r="B23" s="753"/>
      <c r="C23" s="754">
        <v>632</v>
      </c>
      <c r="D23" s="754" t="s">
        <v>560</v>
      </c>
      <c r="E23" s="748"/>
      <c r="F23" s="748"/>
      <c r="G23" s="748"/>
      <c r="H23" s="748"/>
      <c r="J23" s="755"/>
      <c r="K23" s="756">
        <v>127</v>
      </c>
      <c r="L23" s="757" t="s">
        <v>605</v>
      </c>
      <c r="M23" s="758"/>
      <c r="N23" s="758"/>
      <c r="O23" s="758"/>
      <c r="P23" s="758"/>
    </row>
    <row r="24" spans="2:16" x14ac:dyDescent="0.25">
      <c r="B24" s="740"/>
      <c r="C24" s="741" t="s">
        <v>561</v>
      </c>
      <c r="D24" s="741"/>
      <c r="E24" s="742"/>
      <c r="F24" s="742"/>
      <c r="G24" s="742"/>
      <c r="H24" s="742"/>
      <c r="J24" s="755"/>
      <c r="K24" s="756">
        <v>128</v>
      </c>
      <c r="L24" s="757" t="s">
        <v>606</v>
      </c>
      <c r="M24" s="758"/>
      <c r="N24" s="758"/>
      <c r="O24" s="758"/>
      <c r="P24" s="758"/>
    </row>
    <row r="25" spans="2:16" x14ac:dyDescent="0.25">
      <c r="B25" s="740">
        <v>64</v>
      </c>
      <c r="C25" s="741" t="s">
        <v>562</v>
      </c>
      <c r="D25" s="741"/>
      <c r="E25" s="742"/>
      <c r="F25" s="742"/>
      <c r="G25" s="742"/>
      <c r="H25" s="742"/>
      <c r="J25" s="755"/>
      <c r="K25" s="756">
        <v>129</v>
      </c>
      <c r="L25" s="757" t="s">
        <v>607</v>
      </c>
      <c r="M25" s="758"/>
      <c r="N25" s="758"/>
      <c r="O25" s="758"/>
      <c r="P25" s="758"/>
    </row>
    <row r="26" spans="2:16" x14ac:dyDescent="0.25">
      <c r="B26" s="745"/>
      <c r="C26" s="746">
        <v>640</v>
      </c>
      <c r="D26" s="747" t="s">
        <v>180</v>
      </c>
      <c r="E26" s="748"/>
      <c r="F26" s="748"/>
      <c r="G26" s="748"/>
      <c r="H26" s="748"/>
      <c r="J26" s="749">
        <v>13</v>
      </c>
      <c r="K26" s="750" t="s">
        <v>608</v>
      </c>
      <c r="L26" s="751"/>
      <c r="M26" s="752"/>
      <c r="N26" s="752"/>
      <c r="O26" s="752"/>
      <c r="P26" s="752"/>
    </row>
    <row r="27" spans="2:16" x14ac:dyDescent="0.25">
      <c r="B27" s="753"/>
      <c r="C27" s="754">
        <v>641</v>
      </c>
      <c r="D27" s="754" t="s">
        <v>563</v>
      </c>
      <c r="E27" s="748"/>
      <c r="F27" s="748"/>
      <c r="G27" s="748"/>
      <c r="H27" s="748"/>
      <c r="J27" s="755"/>
      <c r="K27" s="756">
        <v>131</v>
      </c>
      <c r="L27" s="757" t="s">
        <v>609</v>
      </c>
      <c r="M27" s="758"/>
      <c r="N27" s="758"/>
      <c r="O27" s="758"/>
      <c r="P27" s="758"/>
    </row>
    <row r="28" spans="2:16" x14ac:dyDescent="0.25">
      <c r="B28" s="753"/>
      <c r="C28" s="754">
        <v>642</v>
      </c>
      <c r="D28" s="754" t="s">
        <v>564</v>
      </c>
      <c r="E28" s="748"/>
      <c r="F28" s="748"/>
      <c r="G28" s="748"/>
      <c r="H28" s="748"/>
      <c r="J28" s="755"/>
      <c r="K28" s="756">
        <v>132</v>
      </c>
      <c r="L28" s="757" t="s">
        <v>610</v>
      </c>
      <c r="M28" s="758"/>
      <c r="N28" s="758"/>
      <c r="O28" s="758"/>
      <c r="P28" s="758"/>
    </row>
    <row r="29" spans="2:16" x14ac:dyDescent="0.25">
      <c r="B29" s="753"/>
      <c r="C29" s="754">
        <v>643</v>
      </c>
      <c r="D29" s="754" t="s">
        <v>565</v>
      </c>
      <c r="E29" s="748"/>
      <c r="F29" s="748"/>
      <c r="G29" s="748"/>
      <c r="H29" s="748"/>
      <c r="J29" s="755"/>
      <c r="K29" s="756">
        <v>133</v>
      </c>
      <c r="L29" s="757" t="s">
        <v>611</v>
      </c>
      <c r="M29" s="758"/>
      <c r="N29" s="758"/>
      <c r="O29" s="758"/>
      <c r="P29" s="758"/>
    </row>
    <row r="30" spans="2:16" x14ac:dyDescent="0.25">
      <c r="B30" s="753"/>
      <c r="C30" s="754">
        <v>644</v>
      </c>
      <c r="D30" s="754" t="s">
        <v>166</v>
      </c>
      <c r="E30" s="748"/>
      <c r="F30" s="748"/>
      <c r="G30" s="748"/>
      <c r="H30" s="748"/>
      <c r="J30" s="755"/>
      <c r="K30" s="756">
        <v>135</v>
      </c>
      <c r="L30" s="757" t="s">
        <v>612</v>
      </c>
      <c r="M30" s="758"/>
      <c r="N30" s="758"/>
      <c r="O30" s="758"/>
      <c r="P30" s="758"/>
    </row>
    <row r="31" spans="2:16" x14ac:dyDescent="0.25">
      <c r="B31" s="753"/>
      <c r="C31" s="754">
        <v>645</v>
      </c>
      <c r="D31" s="754" t="s">
        <v>566</v>
      </c>
      <c r="E31" s="748"/>
      <c r="F31" s="748"/>
      <c r="G31" s="748"/>
      <c r="H31" s="748"/>
      <c r="J31" s="755"/>
      <c r="K31" s="756">
        <v>136</v>
      </c>
      <c r="L31" s="757" t="s">
        <v>613</v>
      </c>
      <c r="M31" s="758"/>
      <c r="N31" s="758"/>
      <c r="O31" s="758"/>
      <c r="P31" s="758"/>
    </row>
    <row r="32" spans="2:16" x14ac:dyDescent="0.25">
      <c r="B32" s="753"/>
      <c r="C32" s="754">
        <v>646</v>
      </c>
      <c r="D32" s="754" t="s">
        <v>567</v>
      </c>
      <c r="E32" s="748"/>
      <c r="F32" s="748"/>
      <c r="G32" s="748"/>
      <c r="H32" s="748"/>
      <c r="J32" s="755"/>
      <c r="K32" s="756">
        <v>137</v>
      </c>
      <c r="L32" s="757" t="s">
        <v>614</v>
      </c>
      <c r="M32" s="758"/>
      <c r="N32" s="758"/>
      <c r="O32" s="758"/>
      <c r="P32" s="758"/>
    </row>
    <row r="33" spans="2:16" x14ac:dyDescent="0.25">
      <c r="B33" s="753"/>
      <c r="C33" s="754">
        <v>647</v>
      </c>
      <c r="D33" s="754" t="s">
        <v>568</v>
      </c>
      <c r="E33" s="748"/>
      <c r="F33" s="748"/>
      <c r="G33" s="748"/>
      <c r="H33" s="748"/>
      <c r="J33" s="755"/>
      <c r="K33" s="756">
        <v>138</v>
      </c>
      <c r="L33" s="757" t="s">
        <v>615</v>
      </c>
      <c r="M33" s="758"/>
      <c r="N33" s="758"/>
      <c r="O33" s="758"/>
      <c r="P33" s="758"/>
    </row>
    <row r="34" spans="2:16" x14ac:dyDescent="0.25">
      <c r="B34" s="753"/>
      <c r="C34" s="754">
        <v>649</v>
      </c>
      <c r="D34" s="754" t="s">
        <v>569</v>
      </c>
      <c r="E34" s="748"/>
      <c r="F34" s="748"/>
      <c r="G34" s="748"/>
      <c r="H34" s="748"/>
      <c r="J34" s="755"/>
      <c r="K34" s="756">
        <v>139</v>
      </c>
      <c r="L34" s="757" t="s">
        <v>616</v>
      </c>
      <c r="M34" s="758"/>
      <c r="N34" s="758"/>
      <c r="O34" s="758"/>
      <c r="P34" s="758"/>
    </row>
    <row r="35" spans="2:16" x14ac:dyDescent="0.25">
      <c r="B35" s="740">
        <v>65</v>
      </c>
      <c r="C35" s="741" t="s">
        <v>570</v>
      </c>
      <c r="D35" s="741"/>
      <c r="E35" s="742"/>
      <c r="F35" s="742"/>
      <c r="G35" s="742"/>
      <c r="H35" s="742"/>
      <c r="J35" s="749">
        <v>15</v>
      </c>
      <c r="K35" s="750" t="s">
        <v>4</v>
      </c>
      <c r="L35" s="751"/>
      <c r="M35" s="752"/>
      <c r="N35" s="752"/>
      <c r="O35" s="752"/>
      <c r="P35" s="752"/>
    </row>
    <row r="36" spans="2:16" x14ac:dyDescent="0.25">
      <c r="B36" s="745"/>
      <c r="C36" s="746">
        <v>653</v>
      </c>
      <c r="D36" s="747" t="s">
        <v>571</v>
      </c>
      <c r="E36" s="748"/>
      <c r="F36" s="748"/>
      <c r="G36" s="748"/>
      <c r="H36" s="748"/>
      <c r="J36" s="755"/>
      <c r="K36" s="756">
        <v>150</v>
      </c>
      <c r="L36" s="757" t="s">
        <v>617</v>
      </c>
      <c r="M36" s="758"/>
      <c r="N36" s="758"/>
      <c r="O36" s="758"/>
      <c r="P36" s="758"/>
    </row>
    <row r="37" spans="2:16" x14ac:dyDescent="0.25">
      <c r="B37" s="753"/>
      <c r="C37" s="754">
        <v>654</v>
      </c>
      <c r="D37" s="754" t="s">
        <v>572</v>
      </c>
      <c r="E37" s="748"/>
      <c r="F37" s="748"/>
      <c r="G37" s="748"/>
      <c r="H37" s="748"/>
      <c r="J37" s="755"/>
      <c r="K37" s="756">
        <v>151</v>
      </c>
      <c r="L37" s="757" t="s">
        <v>618</v>
      </c>
      <c r="M37" s="758"/>
      <c r="N37" s="758"/>
      <c r="O37" s="758"/>
      <c r="P37" s="758"/>
    </row>
    <row r="38" spans="2:16" x14ac:dyDescent="0.25">
      <c r="B38" s="753"/>
      <c r="C38" s="754">
        <v>655</v>
      </c>
      <c r="D38" s="754" t="s">
        <v>573</v>
      </c>
      <c r="E38" s="748"/>
      <c r="F38" s="748"/>
      <c r="G38" s="748"/>
      <c r="H38" s="748"/>
      <c r="J38" s="755"/>
      <c r="K38" s="756">
        <v>152</v>
      </c>
      <c r="L38" s="757" t="s">
        <v>619</v>
      </c>
      <c r="M38" s="758"/>
      <c r="N38" s="758"/>
      <c r="O38" s="758"/>
      <c r="P38" s="758"/>
    </row>
    <row r="39" spans="2:16" x14ac:dyDescent="0.25">
      <c r="B39" s="753"/>
      <c r="C39" s="754">
        <v>656</v>
      </c>
      <c r="D39" s="754" t="s">
        <v>574</v>
      </c>
      <c r="E39" s="748"/>
      <c r="F39" s="748"/>
      <c r="G39" s="748"/>
      <c r="H39" s="748"/>
      <c r="J39" s="755"/>
      <c r="K39" s="756">
        <v>153</v>
      </c>
      <c r="L39" s="757" t="s">
        <v>620</v>
      </c>
      <c r="M39" s="758"/>
      <c r="N39" s="758"/>
      <c r="O39" s="758"/>
      <c r="P39" s="758"/>
    </row>
    <row r="40" spans="2:16" x14ac:dyDescent="0.25">
      <c r="B40" s="753"/>
      <c r="C40" s="754">
        <v>657</v>
      </c>
      <c r="D40" s="754" t="s">
        <v>575</v>
      </c>
      <c r="E40" s="748"/>
      <c r="F40" s="748"/>
      <c r="G40" s="748"/>
      <c r="H40" s="748"/>
      <c r="J40" s="755"/>
      <c r="K40" s="756">
        <v>154</v>
      </c>
      <c r="L40" s="757" t="s">
        <v>621</v>
      </c>
      <c r="M40" s="758"/>
      <c r="N40" s="758"/>
      <c r="O40" s="758"/>
      <c r="P40" s="758"/>
    </row>
    <row r="41" spans="2:16" x14ac:dyDescent="0.25">
      <c r="B41" s="753"/>
      <c r="C41" s="754">
        <v>659</v>
      </c>
      <c r="D41" s="754" t="s">
        <v>576</v>
      </c>
      <c r="E41" s="748"/>
      <c r="F41" s="748"/>
      <c r="G41" s="748"/>
      <c r="H41" s="748"/>
      <c r="J41" s="755"/>
      <c r="K41" s="756">
        <v>157</v>
      </c>
      <c r="L41" s="757" t="s">
        <v>622</v>
      </c>
      <c r="M41" s="758"/>
      <c r="N41" s="758"/>
      <c r="O41" s="758"/>
      <c r="P41" s="758"/>
    </row>
    <row r="42" spans="2:16" x14ac:dyDescent="0.25">
      <c r="B42" s="740">
        <v>66</v>
      </c>
      <c r="C42" s="741" t="s">
        <v>577</v>
      </c>
      <c r="D42" s="741"/>
      <c r="E42" s="742"/>
      <c r="F42" s="742"/>
      <c r="G42" s="742"/>
      <c r="H42" s="742"/>
      <c r="J42" s="755"/>
      <c r="K42" s="756">
        <v>158</v>
      </c>
      <c r="L42" s="757" t="s">
        <v>623</v>
      </c>
      <c r="M42" s="758"/>
      <c r="N42" s="758"/>
      <c r="O42" s="758"/>
      <c r="P42" s="758"/>
    </row>
    <row r="43" spans="2:16" x14ac:dyDescent="0.25">
      <c r="B43" s="753"/>
      <c r="C43" s="754">
        <v>660</v>
      </c>
      <c r="D43" s="754" t="s">
        <v>81</v>
      </c>
      <c r="E43" s="748"/>
      <c r="F43" s="748"/>
      <c r="G43" s="748"/>
      <c r="H43" s="748"/>
      <c r="J43" s="755"/>
      <c r="K43" s="756">
        <v>159</v>
      </c>
      <c r="L43" s="757" t="s">
        <v>624</v>
      </c>
      <c r="M43" s="758"/>
      <c r="N43" s="758"/>
      <c r="O43" s="758"/>
      <c r="P43" s="758"/>
    </row>
    <row r="44" spans="2:16" x14ac:dyDescent="0.25">
      <c r="B44" s="753"/>
      <c r="C44" s="754">
        <v>661</v>
      </c>
      <c r="D44" s="754" t="s">
        <v>35</v>
      </c>
      <c r="E44" s="748"/>
      <c r="F44" s="748"/>
      <c r="G44" s="748"/>
      <c r="H44" s="748"/>
      <c r="J44" s="749">
        <v>17</v>
      </c>
      <c r="K44" s="750" t="s">
        <v>625</v>
      </c>
      <c r="L44" s="751"/>
      <c r="M44" s="752"/>
      <c r="N44" s="752"/>
      <c r="O44" s="752"/>
      <c r="P44" s="752"/>
    </row>
    <row r="45" spans="2:16" x14ac:dyDescent="0.25">
      <c r="B45" s="740"/>
      <c r="C45" s="741" t="s">
        <v>578</v>
      </c>
      <c r="D45" s="741"/>
      <c r="E45" s="742"/>
      <c r="F45" s="742"/>
      <c r="G45" s="742"/>
      <c r="H45" s="742"/>
      <c r="J45" s="755"/>
      <c r="K45" s="756">
        <v>170</v>
      </c>
      <c r="L45" s="757" t="s">
        <v>625</v>
      </c>
      <c r="M45" s="758"/>
      <c r="N45" s="758"/>
      <c r="O45" s="758"/>
      <c r="P45" s="758"/>
    </row>
    <row r="46" spans="2:16" x14ac:dyDescent="0.25">
      <c r="B46" s="740">
        <v>67</v>
      </c>
      <c r="C46" s="741" t="s">
        <v>579</v>
      </c>
      <c r="D46" s="741"/>
      <c r="E46" s="742"/>
      <c r="F46" s="742"/>
      <c r="G46" s="742"/>
      <c r="H46" s="742"/>
      <c r="J46" s="755"/>
      <c r="K46" s="756">
        <v>179</v>
      </c>
      <c r="L46" s="757" t="s">
        <v>626</v>
      </c>
      <c r="M46" s="758"/>
      <c r="N46" s="758"/>
      <c r="O46" s="758"/>
      <c r="P46" s="758"/>
    </row>
    <row r="47" spans="2:16" x14ac:dyDescent="0.25">
      <c r="B47" s="753"/>
      <c r="C47" s="754">
        <v>671</v>
      </c>
      <c r="D47" s="754" t="s">
        <v>83</v>
      </c>
      <c r="E47" s="748"/>
      <c r="F47" s="748"/>
      <c r="G47" s="748"/>
      <c r="H47" s="748"/>
      <c r="J47" s="749">
        <v>18</v>
      </c>
      <c r="K47" s="750" t="s">
        <v>627</v>
      </c>
      <c r="L47" s="751"/>
      <c r="M47" s="752"/>
      <c r="N47" s="752"/>
      <c r="O47" s="752"/>
      <c r="P47" s="752"/>
    </row>
    <row r="48" spans="2:16" x14ac:dyDescent="0.25">
      <c r="B48" s="745"/>
      <c r="C48" s="746">
        <v>679</v>
      </c>
      <c r="D48" s="747" t="s">
        <v>580</v>
      </c>
      <c r="E48" s="748"/>
      <c r="F48" s="748"/>
      <c r="G48" s="748"/>
      <c r="H48" s="748"/>
      <c r="J48" s="755"/>
      <c r="K48" s="756">
        <v>180</v>
      </c>
      <c r="L48" s="757" t="s">
        <v>628</v>
      </c>
      <c r="M48" s="758"/>
      <c r="N48" s="758"/>
      <c r="O48" s="758"/>
      <c r="P48" s="758"/>
    </row>
    <row r="49" spans="2:16" x14ac:dyDescent="0.25">
      <c r="B49" s="740">
        <v>68</v>
      </c>
      <c r="C49" s="741" t="s">
        <v>581</v>
      </c>
      <c r="D49" s="741"/>
      <c r="E49" s="742"/>
      <c r="F49" s="742"/>
      <c r="G49" s="742"/>
      <c r="H49" s="742"/>
      <c r="J49" s="755"/>
      <c r="K49" s="756">
        <v>181</v>
      </c>
      <c r="L49" s="757" t="s">
        <v>629</v>
      </c>
      <c r="M49" s="758"/>
      <c r="N49" s="758"/>
      <c r="O49" s="758"/>
      <c r="P49" s="758"/>
    </row>
    <row r="50" spans="2:16" x14ac:dyDescent="0.25">
      <c r="B50" s="753"/>
      <c r="C50" s="754">
        <v>680</v>
      </c>
      <c r="D50" s="754" t="s">
        <v>582</v>
      </c>
      <c r="E50" s="748"/>
      <c r="F50" s="748"/>
      <c r="G50" s="748"/>
      <c r="H50" s="748"/>
      <c r="J50" s="749">
        <v>19</v>
      </c>
      <c r="K50" s="750" t="s">
        <v>94</v>
      </c>
      <c r="L50" s="751"/>
      <c r="M50" s="752"/>
      <c r="N50" s="752"/>
      <c r="O50" s="752"/>
      <c r="P50" s="752"/>
    </row>
    <row r="51" spans="2:16" x14ac:dyDescent="0.25">
      <c r="B51" s="745"/>
      <c r="C51" s="746">
        <v>681</v>
      </c>
      <c r="D51" s="747" t="s">
        <v>84</v>
      </c>
      <c r="E51" s="748"/>
      <c r="F51" s="748"/>
      <c r="G51" s="748"/>
      <c r="H51" s="748"/>
      <c r="J51" s="755"/>
      <c r="K51" s="756">
        <v>190</v>
      </c>
      <c r="L51" s="757" t="s">
        <v>630</v>
      </c>
      <c r="M51" s="758"/>
      <c r="N51" s="758"/>
      <c r="O51" s="758"/>
      <c r="P51" s="758"/>
    </row>
    <row r="52" spans="2:16" x14ac:dyDescent="0.25">
      <c r="B52" s="753"/>
      <c r="C52" s="754">
        <v>689</v>
      </c>
      <c r="D52" s="754" t="s">
        <v>583</v>
      </c>
      <c r="E52" s="748"/>
      <c r="F52" s="748"/>
      <c r="G52" s="748"/>
      <c r="H52" s="748"/>
      <c r="J52" s="755"/>
      <c r="K52" s="756">
        <v>191</v>
      </c>
      <c r="L52" s="757" t="s">
        <v>631</v>
      </c>
      <c r="M52" s="758"/>
      <c r="N52" s="758"/>
      <c r="O52" s="758"/>
      <c r="P52" s="758"/>
    </row>
    <row r="53" spans="2:16" x14ac:dyDescent="0.25">
      <c r="B53" s="740">
        <v>69</v>
      </c>
      <c r="C53" s="741" t="s">
        <v>584</v>
      </c>
      <c r="D53" s="741"/>
      <c r="E53" s="742"/>
      <c r="F53" s="742"/>
      <c r="G53" s="742"/>
      <c r="H53" s="742"/>
      <c r="J53" s="755"/>
      <c r="K53" s="756">
        <v>192</v>
      </c>
      <c r="L53" s="757" t="s">
        <v>632</v>
      </c>
      <c r="M53" s="758"/>
      <c r="N53" s="758"/>
      <c r="O53" s="758"/>
      <c r="P53" s="758"/>
    </row>
    <row r="54" spans="2:16" x14ac:dyDescent="0.25">
      <c r="B54" s="753"/>
      <c r="C54" s="754">
        <v>691</v>
      </c>
      <c r="D54" s="754" t="s">
        <v>585</v>
      </c>
      <c r="E54" s="748"/>
      <c r="F54" s="748"/>
      <c r="G54" s="748"/>
      <c r="H54" s="748"/>
      <c r="J54" s="755"/>
      <c r="K54" s="756">
        <v>193</v>
      </c>
      <c r="L54" s="757" t="s">
        <v>633</v>
      </c>
      <c r="M54" s="758"/>
      <c r="N54" s="758"/>
      <c r="O54" s="758"/>
      <c r="P54" s="758"/>
    </row>
    <row r="55" spans="2:16" x14ac:dyDescent="0.25">
      <c r="B55" s="740"/>
      <c r="C55" s="741" t="s">
        <v>586</v>
      </c>
      <c r="D55" s="741"/>
      <c r="E55" s="742"/>
      <c r="F55" s="742"/>
      <c r="G55" s="742"/>
      <c r="H55" s="742"/>
      <c r="J55" s="755"/>
      <c r="K55" s="756">
        <v>195</v>
      </c>
      <c r="L55" s="757" t="s">
        <v>634</v>
      </c>
      <c r="M55" s="758"/>
      <c r="N55" s="758"/>
      <c r="O55" s="758"/>
      <c r="P55" s="758"/>
    </row>
    <row r="56" spans="2:16" x14ac:dyDescent="0.25">
      <c r="E56" s="759"/>
      <c r="F56" s="759"/>
      <c r="J56" s="755"/>
      <c r="K56" s="756">
        <v>196</v>
      </c>
      <c r="L56" s="757" t="s">
        <v>635</v>
      </c>
      <c r="M56" s="758"/>
      <c r="N56" s="758"/>
      <c r="O56" s="758"/>
      <c r="P56" s="758"/>
    </row>
    <row r="57" spans="2:16" x14ac:dyDescent="0.25">
      <c r="E57" s="759"/>
      <c r="F57" s="759"/>
      <c r="J57" s="755"/>
      <c r="K57" s="756">
        <v>197</v>
      </c>
      <c r="L57" s="757" t="s">
        <v>636</v>
      </c>
      <c r="M57" s="758"/>
      <c r="N57" s="758"/>
      <c r="O57" s="758"/>
      <c r="P57" s="758"/>
    </row>
    <row r="58" spans="2:16" x14ac:dyDescent="0.25">
      <c r="E58" s="760"/>
      <c r="F58" s="760"/>
      <c r="J58" s="755"/>
      <c r="K58" s="756">
        <v>198</v>
      </c>
      <c r="L58" s="757" t="s">
        <v>637</v>
      </c>
      <c r="M58" s="758"/>
      <c r="N58" s="758"/>
      <c r="O58" s="758"/>
      <c r="P58" s="758"/>
    </row>
    <row r="59" spans="2:16" x14ac:dyDescent="0.25">
      <c r="E59" s="760"/>
      <c r="F59" s="760"/>
      <c r="J59" s="755"/>
      <c r="K59" s="756">
        <v>199</v>
      </c>
      <c r="L59" s="757" t="s">
        <v>638</v>
      </c>
      <c r="M59" s="758"/>
      <c r="N59" s="758"/>
      <c r="O59" s="758"/>
      <c r="P59" s="758"/>
    </row>
    <row r="60" spans="2:16" x14ac:dyDescent="0.25">
      <c r="E60" s="760"/>
      <c r="F60" s="760"/>
      <c r="J60" s="743">
        <v>1</v>
      </c>
      <c r="K60" s="761" t="s">
        <v>639</v>
      </c>
      <c r="L60" s="762"/>
      <c r="M60" s="763"/>
      <c r="N60" s="763"/>
      <c r="O60" s="763"/>
      <c r="P60" s="763"/>
    </row>
    <row r="61" spans="2:16" x14ac:dyDescent="0.25">
      <c r="E61" s="760"/>
      <c r="F61" s="760"/>
      <c r="J61" s="743">
        <v>2</v>
      </c>
      <c r="K61" s="764" t="s">
        <v>640</v>
      </c>
      <c r="L61" s="765"/>
      <c r="M61" s="763"/>
      <c r="N61" s="763"/>
      <c r="O61" s="763"/>
      <c r="P61" s="763"/>
    </row>
    <row r="62" spans="2:16" x14ac:dyDescent="0.25">
      <c r="E62" s="760"/>
      <c r="F62" s="760"/>
      <c r="J62" s="749">
        <v>22</v>
      </c>
      <c r="K62" s="750" t="s">
        <v>600</v>
      </c>
      <c r="L62" s="751"/>
      <c r="M62" s="752"/>
      <c r="N62" s="752"/>
      <c r="O62" s="752"/>
      <c r="P62" s="752"/>
    </row>
    <row r="63" spans="2:16" x14ac:dyDescent="0.25">
      <c r="J63" s="755"/>
      <c r="K63" s="756">
        <v>220</v>
      </c>
      <c r="L63" s="757" t="s">
        <v>601</v>
      </c>
      <c r="M63" s="758"/>
      <c r="N63" s="758"/>
      <c r="O63" s="758"/>
      <c r="P63" s="758"/>
    </row>
    <row r="64" spans="2:16" x14ac:dyDescent="0.25">
      <c r="J64" s="755"/>
      <c r="K64" s="756">
        <v>221</v>
      </c>
      <c r="L64" s="757" t="s">
        <v>602</v>
      </c>
      <c r="M64" s="758"/>
      <c r="N64" s="758"/>
      <c r="O64" s="758"/>
      <c r="P64" s="758"/>
    </row>
    <row r="65" spans="10:16" x14ac:dyDescent="0.25">
      <c r="J65" s="755"/>
      <c r="K65" s="756">
        <v>222</v>
      </c>
      <c r="L65" s="757" t="s">
        <v>641</v>
      </c>
      <c r="M65" s="758"/>
      <c r="N65" s="758"/>
      <c r="O65" s="758"/>
      <c r="P65" s="758"/>
    </row>
    <row r="66" spans="10:16" x14ac:dyDescent="0.25">
      <c r="J66" s="755"/>
      <c r="K66" s="756">
        <v>226</v>
      </c>
      <c r="L66" s="757" t="s">
        <v>604</v>
      </c>
      <c r="M66" s="758"/>
      <c r="N66" s="758"/>
      <c r="O66" s="758"/>
      <c r="P66" s="758"/>
    </row>
    <row r="67" spans="10:16" x14ac:dyDescent="0.25">
      <c r="J67" s="755"/>
      <c r="K67" s="756">
        <v>229</v>
      </c>
      <c r="L67" s="757" t="s">
        <v>642</v>
      </c>
      <c r="M67" s="758"/>
      <c r="N67" s="758"/>
      <c r="O67" s="758"/>
      <c r="P67" s="758"/>
    </row>
    <row r="68" spans="10:16" x14ac:dyDescent="0.25">
      <c r="J68" s="749">
        <v>23</v>
      </c>
      <c r="K68" s="750" t="s">
        <v>608</v>
      </c>
      <c r="L68" s="751"/>
      <c r="M68" s="752"/>
      <c r="N68" s="752"/>
      <c r="O68" s="752"/>
      <c r="P68" s="752"/>
    </row>
    <row r="69" spans="10:16" x14ac:dyDescent="0.25">
      <c r="J69" s="755"/>
      <c r="K69" s="756">
        <v>231</v>
      </c>
      <c r="L69" s="757" t="s">
        <v>609</v>
      </c>
      <c r="M69" s="758"/>
      <c r="N69" s="758"/>
      <c r="O69" s="758"/>
      <c r="P69" s="758"/>
    </row>
    <row r="70" spans="10:16" x14ac:dyDescent="0.25">
      <c r="J70" s="755"/>
      <c r="K70" s="756">
        <v>232</v>
      </c>
      <c r="L70" s="757" t="s">
        <v>610</v>
      </c>
      <c r="M70" s="758"/>
      <c r="N70" s="758"/>
      <c r="O70" s="758"/>
      <c r="P70" s="758"/>
    </row>
    <row r="71" spans="10:16" x14ac:dyDescent="0.25">
      <c r="J71" s="755"/>
      <c r="K71" s="756">
        <v>233</v>
      </c>
      <c r="L71" s="757" t="s">
        <v>611</v>
      </c>
      <c r="M71" s="758"/>
      <c r="N71" s="758"/>
      <c r="O71" s="758"/>
      <c r="P71" s="758"/>
    </row>
    <row r="72" spans="10:16" x14ac:dyDescent="0.25">
      <c r="J72" s="755"/>
      <c r="K72" s="756">
        <v>235</v>
      </c>
      <c r="L72" s="757" t="s">
        <v>612</v>
      </c>
      <c r="M72" s="758"/>
      <c r="N72" s="758"/>
      <c r="O72" s="758"/>
      <c r="P72" s="758"/>
    </row>
    <row r="73" spans="10:16" x14ac:dyDescent="0.25">
      <c r="J73" s="755"/>
      <c r="K73" s="756">
        <v>236</v>
      </c>
      <c r="L73" s="757" t="s">
        <v>613</v>
      </c>
      <c r="M73" s="758"/>
      <c r="N73" s="758"/>
      <c r="O73" s="758"/>
      <c r="P73" s="758"/>
    </row>
    <row r="74" spans="10:16" x14ac:dyDescent="0.25">
      <c r="J74" s="755"/>
      <c r="K74" s="756">
        <v>237</v>
      </c>
      <c r="L74" s="757" t="s">
        <v>614</v>
      </c>
      <c r="M74" s="758"/>
      <c r="N74" s="758"/>
      <c r="O74" s="758"/>
      <c r="P74" s="758"/>
    </row>
    <row r="75" spans="10:16" x14ac:dyDescent="0.25">
      <c r="J75" s="755"/>
      <c r="K75" s="756">
        <v>239</v>
      </c>
      <c r="L75" s="757" t="s">
        <v>616</v>
      </c>
      <c r="M75" s="758"/>
      <c r="N75" s="758"/>
      <c r="O75" s="758"/>
      <c r="P75" s="758"/>
    </row>
    <row r="76" spans="10:16" x14ac:dyDescent="0.25">
      <c r="J76" s="749">
        <v>24</v>
      </c>
      <c r="K76" s="750" t="s">
        <v>56</v>
      </c>
      <c r="L76" s="751"/>
      <c r="M76" s="752"/>
      <c r="N76" s="752"/>
      <c r="O76" s="752"/>
      <c r="P76" s="752"/>
    </row>
    <row r="77" spans="10:16" x14ac:dyDescent="0.25">
      <c r="J77" s="755"/>
      <c r="K77" s="756">
        <v>240</v>
      </c>
      <c r="L77" s="757" t="s">
        <v>643</v>
      </c>
      <c r="M77" s="758"/>
      <c r="N77" s="758"/>
      <c r="O77" s="758"/>
      <c r="P77" s="758"/>
    </row>
    <row r="78" spans="10:16" x14ac:dyDescent="0.25">
      <c r="J78" s="755"/>
      <c r="K78" s="756">
        <v>241</v>
      </c>
      <c r="L78" s="757" t="s">
        <v>644</v>
      </c>
      <c r="M78" s="758"/>
      <c r="N78" s="758"/>
      <c r="O78" s="758"/>
      <c r="P78" s="758"/>
    </row>
    <row r="79" spans="10:16" x14ac:dyDescent="0.25">
      <c r="J79" s="755"/>
      <c r="K79" s="756">
        <v>242</v>
      </c>
      <c r="L79" s="757" t="s">
        <v>645</v>
      </c>
      <c r="M79" s="758"/>
      <c r="N79" s="758"/>
      <c r="O79" s="758"/>
      <c r="P79" s="758"/>
    </row>
    <row r="80" spans="10:16" x14ac:dyDescent="0.25">
      <c r="J80" s="755"/>
      <c r="K80" s="756">
        <v>243</v>
      </c>
      <c r="L80" s="757" t="s">
        <v>646</v>
      </c>
      <c r="M80" s="758"/>
      <c r="N80" s="758"/>
      <c r="O80" s="758"/>
      <c r="P80" s="758"/>
    </row>
    <row r="81" spans="10:16" x14ac:dyDescent="0.25">
      <c r="J81" s="755"/>
      <c r="K81" s="756">
        <v>244</v>
      </c>
      <c r="L81" s="757" t="s">
        <v>647</v>
      </c>
      <c r="M81" s="758"/>
      <c r="N81" s="758"/>
      <c r="O81" s="758"/>
      <c r="P81" s="758"/>
    </row>
    <row r="82" spans="10:16" x14ac:dyDescent="0.25">
      <c r="J82" s="755"/>
      <c r="K82" s="756">
        <v>245</v>
      </c>
      <c r="L82" s="757" t="s">
        <v>648</v>
      </c>
      <c r="M82" s="758"/>
      <c r="N82" s="758"/>
      <c r="O82" s="758"/>
      <c r="P82" s="758"/>
    </row>
    <row r="83" spans="10:16" x14ac:dyDescent="0.25">
      <c r="J83" s="755"/>
      <c r="K83" s="756">
        <v>246</v>
      </c>
      <c r="L83" s="757" t="s">
        <v>649</v>
      </c>
      <c r="M83" s="758"/>
      <c r="N83" s="758"/>
      <c r="O83" s="758"/>
      <c r="P83" s="758"/>
    </row>
    <row r="84" spans="10:16" x14ac:dyDescent="0.25">
      <c r="J84" s="755"/>
      <c r="K84" s="756">
        <v>247</v>
      </c>
      <c r="L84" s="757" t="s">
        <v>650</v>
      </c>
      <c r="M84" s="758"/>
      <c r="N84" s="758"/>
      <c r="O84" s="758"/>
      <c r="P84" s="758"/>
    </row>
    <row r="85" spans="10:16" x14ac:dyDescent="0.25">
      <c r="J85" s="755"/>
      <c r="K85" s="756">
        <v>248</v>
      </c>
      <c r="L85" s="757" t="s">
        <v>651</v>
      </c>
      <c r="M85" s="758"/>
      <c r="N85" s="758"/>
      <c r="O85" s="758"/>
      <c r="P85" s="758"/>
    </row>
    <row r="86" spans="10:16" x14ac:dyDescent="0.25">
      <c r="J86" s="755"/>
      <c r="K86" s="756">
        <v>249</v>
      </c>
      <c r="L86" s="757" t="s">
        <v>652</v>
      </c>
      <c r="M86" s="758"/>
      <c r="N86" s="758"/>
      <c r="O86" s="758"/>
      <c r="P86" s="758"/>
    </row>
    <row r="87" spans="10:16" x14ac:dyDescent="0.25">
      <c r="J87" s="749">
        <v>25</v>
      </c>
      <c r="K87" s="750" t="s">
        <v>59</v>
      </c>
      <c r="L87" s="751"/>
      <c r="M87" s="752"/>
      <c r="N87" s="752"/>
      <c r="O87" s="752"/>
      <c r="P87" s="752"/>
    </row>
    <row r="88" spans="10:16" x14ac:dyDescent="0.25">
      <c r="J88" s="755"/>
      <c r="K88" s="756">
        <v>250</v>
      </c>
      <c r="L88" s="757" t="s">
        <v>653</v>
      </c>
      <c r="M88" s="758"/>
      <c r="N88" s="758"/>
      <c r="O88" s="758"/>
      <c r="P88" s="758"/>
    </row>
    <row r="89" spans="10:16" x14ac:dyDescent="0.25">
      <c r="J89" s="755"/>
      <c r="K89" s="756">
        <v>251</v>
      </c>
      <c r="L89" s="757" t="s">
        <v>654</v>
      </c>
      <c r="M89" s="758"/>
      <c r="N89" s="758"/>
      <c r="O89" s="758"/>
      <c r="P89" s="758"/>
    </row>
    <row r="90" spans="10:16" x14ac:dyDescent="0.25">
      <c r="J90" s="755"/>
      <c r="K90" s="756">
        <v>252</v>
      </c>
      <c r="L90" s="757" t="s">
        <v>655</v>
      </c>
      <c r="M90" s="758"/>
      <c r="N90" s="758"/>
      <c r="O90" s="758"/>
      <c r="P90" s="758"/>
    </row>
    <row r="91" spans="10:16" x14ac:dyDescent="0.25">
      <c r="J91" s="755"/>
      <c r="K91" s="756">
        <v>253</v>
      </c>
      <c r="L91" s="757" t="s">
        <v>656</v>
      </c>
      <c r="M91" s="758"/>
      <c r="N91" s="758"/>
      <c r="O91" s="758"/>
      <c r="P91" s="758"/>
    </row>
    <row r="92" spans="10:16" x14ac:dyDescent="0.25">
      <c r="J92" s="755"/>
      <c r="K92" s="756">
        <v>254</v>
      </c>
      <c r="L92" s="757" t="s">
        <v>657</v>
      </c>
      <c r="M92" s="758"/>
      <c r="N92" s="758"/>
      <c r="O92" s="758"/>
      <c r="P92" s="758"/>
    </row>
    <row r="93" spans="10:16" x14ac:dyDescent="0.25">
      <c r="J93" s="755"/>
      <c r="K93" s="756">
        <v>255</v>
      </c>
      <c r="L93" s="757" t="s">
        <v>658</v>
      </c>
      <c r="M93" s="758"/>
      <c r="N93" s="758"/>
      <c r="O93" s="758"/>
      <c r="P93" s="758"/>
    </row>
    <row r="94" spans="10:16" x14ac:dyDescent="0.25">
      <c r="J94" s="755"/>
      <c r="K94" s="756">
        <v>256</v>
      </c>
      <c r="L94" s="757" t="s">
        <v>659</v>
      </c>
      <c r="M94" s="758"/>
      <c r="N94" s="758"/>
      <c r="O94" s="758"/>
      <c r="P94" s="758"/>
    </row>
    <row r="95" spans="10:16" x14ac:dyDescent="0.25">
      <c r="J95" s="755"/>
      <c r="K95" s="756">
        <v>257</v>
      </c>
      <c r="L95" s="757" t="s">
        <v>660</v>
      </c>
      <c r="M95" s="758"/>
      <c r="N95" s="758"/>
      <c r="O95" s="758"/>
      <c r="P95" s="758"/>
    </row>
    <row r="96" spans="10:16" x14ac:dyDescent="0.25">
      <c r="J96" s="755"/>
      <c r="K96" s="756">
        <v>258</v>
      </c>
      <c r="L96" s="757" t="s">
        <v>661</v>
      </c>
      <c r="M96" s="758"/>
      <c r="N96" s="758"/>
      <c r="O96" s="758"/>
      <c r="P96" s="758"/>
    </row>
    <row r="97" spans="10:16" x14ac:dyDescent="0.25">
      <c r="J97" s="755"/>
      <c r="K97" s="756">
        <v>259</v>
      </c>
      <c r="L97" s="757" t="s">
        <v>662</v>
      </c>
      <c r="M97" s="758"/>
      <c r="N97" s="758"/>
      <c r="O97" s="758"/>
      <c r="P97" s="758"/>
    </row>
    <row r="98" spans="10:16" x14ac:dyDescent="0.25">
      <c r="J98" s="749">
        <v>26</v>
      </c>
      <c r="K98" s="750" t="s">
        <v>60</v>
      </c>
      <c r="L98" s="751"/>
      <c r="M98" s="752"/>
      <c r="N98" s="752"/>
      <c r="O98" s="752"/>
      <c r="P98" s="752"/>
    </row>
    <row r="99" spans="10:16" x14ac:dyDescent="0.25">
      <c r="J99" s="755"/>
      <c r="K99" s="756">
        <v>260</v>
      </c>
      <c r="L99" s="757" t="s">
        <v>663</v>
      </c>
      <c r="M99" s="758"/>
      <c r="N99" s="758"/>
      <c r="O99" s="758"/>
      <c r="P99" s="758"/>
    </row>
    <row r="100" spans="10:16" x14ac:dyDescent="0.25">
      <c r="J100" s="755"/>
      <c r="K100" s="756">
        <v>261</v>
      </c>
      <c r="L100" s="757" t="s">
        <v>664</v>
      </c>
      <c r="M100" s="758"/>
      <c r="N100" s="758"/>
      <c r="O100" s="758"/>
      <c r="P100" s="758"/>
    </row>
    <row r="101" spans="10:16" x14ac:dyDescent="0.25">
      <c r="J101" s="755"/>
      <c r="K101" s="756">
        <v>262</v>
      </c>
      <c r="L101" s="757" t="s">
        <v>665</v>
      </c>
      <c r="M101" s="758"/>
      <c r="N101" s="758"/>
      <c r="O101" s="758"/>
      <c r="P101" s="758"/>
    </row>
    <row r="102" spans="10:16" x14ac:dyDescent="0.25">
      <c r="J102" s="755"/>
      <c r="K102" s="756">
        <v>263</v>
      </c>
      <c r="L102" s="757" t="s">
        <v>160</v>
      </c>
      <c r="M102" s="758"/>
      <c r="N102" s="758"/>
      <c r="O102" s="758"/>
      <c r="P102" s="758"/>
    </row>
    <row r="103" spans="10:16" x14ac:dyDescent="0.25">
      <c r="J103" s="755"/>
      <c r="K103" s="756">
        <v>264</v>
      </c>
      <c r="L103" s="757" t="s">
        <v>666</v>
      </c>
      <c r="M103" s="758"/>
      <c r="N103" s="758"/>
      <c r="O103" s="758"/>
      <c r="P103" s="758"/>
    </row>
    <row r="104" spans="10:16" x14ac:dyDescent="0.25">
      <c r="J104" s="755"/>
      <c r="K104" s="756">
        <v>267</v>
      </c>
      <c r="L104" s="757" t="s">
        <v>667</v>
      </c>
      <c r="M104" s="758"/>
      <c r="N104" s="758"/>
      <c r="O104" s="758"/>
      <c r="P104" s="758"/>
    </row>
    <row r="105" spans="10:16" x14ac:dyDescent="0.25">
      <c r="J105" s="755"/>
      <c r="K105" s="756">
        <v>268</v>
      </c>
      <c r="L105" s="757" t="s">
        <v>660</v>
      </c>
      <c r="M105" s="758"/>
      <c r="N105" s="758"/>
      <c r="O105" s="758"/>
      <c r="P105" s="758"/>
    </row>
    <row r="106" spans="10:16" x14ac:dyDescent="0.25">
      <c r="J106" s="755"/>
      <c r="K106" s="756">
        <v>269</v>
      </c>
      <c r="L106" s="757" t="s">
        <v>662</v>
      </c>
      <c r="M106" s="758"/>
      <c r="N106" s="758"/>
      <c r="O106" s="758"/>
      <c r="P106" s="758"/>
    </row>
    <row r="107" spans="10:16" x14ac:dyDescent="0.25">
      <c r="J107" s="749">
        <v>27</v>
      </c>
      <c r="K107" s="750" t="s">
        <v>668</v>
      </c>
      <c r="L107" s="751"/>
      <c r="M107" s="752"/>
      <c r="N107" s="752"/>
      <c r="O107" s="752"/>
      <c r="P107" s="752"/>
    </row>
    <row r="108" spans="10:16" x14ac:dyDescent="0.25">
      <c r="J108" s="755"/>
      <c r="K108" s="756">
        <v>271</v>
      </c>
      <c r="L108" s="757" t="s">
        <v>669</v>
      </c>
      <c r="M108" s="758"/>
      <c r="N108" s="758"/>
      <c r="O108" s="758"/>
      <c r="P108" s="758"/>
    </row>
    <row r="109" spans="10:16" x14ac:dyDescent="0.25">
      <c r="J109" s="755"/>
      <c r="K109" s="756">
        <v>272</v>
      </c>
      <c r="L109" s="757" t="s">
        <v>670</v>
      </c>
      <c r="M109" s="758"/>
      <c r="N109" s="758"/>
      <c r="O109" s="758"/>
      <c r="P109" s="758"/>
    </row>
    <row r="110" spans="10:16" x14ac:dyDescent="0.25">
      <c r="J110" s="755"/>
      <c r="K110" s="756">
        <v>277</v>
      </c>
      <c r="L110" s="757" t="s">
        <v>671</v>
      </c>
      <c r="M110" s="758"/>
      <c r="N110" s="758"/>
      <c r="O110" s="758"/>
      <c r="P110" s="758"/>
    </row>
    <row r="111" spans="10:16" x14ac:dyDescent="0.25">
      <c r="J111" s="755"/>
      <c r="K111" s="756">
        <v>278</v>
      </c>
      <c r="L111" s="757" t="s">
        <v>672</v>
      </c>
      <c r="M111" s="758"/>
      <c r="N111" s="758"/>
      <c r="O111" s="758"/>
      <c r="P111" s="758"/>
    </row>
    <row r="112" spans="10:16" x14ac:dyDescent="0.25">
      <c r="J112" s="755"/>
      <c r="K112" s="756">
        <v>279</v>
      </c>
      <c r="L112" s="757" t="s">
        <v>662</v>
      </c>
      <c r="M112" s="758"/>
      <c r="N112" s="758"/>
      <c r="O112" s="758"/>
      <c r="P112" s="758"/>
    </row>
    <row r="113" spans="10:16" x14ac:dyDescent="0.25">
      <c r="J113" s="755"/>
      <c r="K113" s="756">
        <v>276</v>
      </c>
      <c r="L113" s="757" t="s">
        <v>664</v>
      </c>
      <c r="M113" s="758"/>
      <c r="N113" s="758"/>
      <c r="O113" s="758"/>
      <c r="P113" s="758"/>
    </row>
    <row r="114" spans="10:16" x14ac:dyDescent="0.25">
      <c r="J114" s="749">
        <v>28</v>
      </c>
      <c r="K114" s="750" t="s">
        <v>673</v>
      </c>
      <c r="L114" s="751"/>
      <c r="M114" s="766"/>
      <c r="N114" s="766"/>
      <c r="O114" s="766"/>
      <c r="P114" s="766"/>
    </row>
    <row r="115" spans="10:16" x14ac:dyDescent="0.25">
      <c r="J115" s="755"/>
      <c r="K115" s="756">
        <v>280</v>
      </c>
      <c r="L115" s="757" t="s">
        <v>674</v>
      </c>
      <c r="M115" s="758"/>
      <c r="N115" s="758"/>
      <c r="O115" s="758"/>
      <c r="P115" s="758"/>
    </row>
    <row r="116" spans="10:16" x14ac:dyDescent="0.25">
      <c r="J116" s="755"/>
      <c r="K116" s="756">
        <v>281</v>
      </c>
      <c r="L116" s="757" t="s">
        <v>675</v>
      </c>
      <c r="M116" s="758"/>
      <c r="N116" s="758"/>
      <c r="O116" s="758"/>
      <c r="P116" s="758"/>
    </row>
    <row r="117" spans="10:16" x14ac:dyDescent="0.25">
      <c r="J117" s="749">
        <v>29</v>
      </c>
      <c r="K117" s="750" t="s">
        <v>97</v>
      </c>
      <c r="L117" s="751"/>
      <c r="M117" s="752"/>
      <c r="N117" s="752"/>
      <c r="O117" s="752"/>
      <c r="P117" s="752"/>
    </row>
    <row r="118" spans="10:16" x14ac:dyDescent="0.25">
      <c r="J118" s="755"/>
      <c r="K118" s="756">
        <v>291</v>
      </c>
      <c r="L118" s="757" t="s">
        <v>676</v>
      </c>
      <c r="M118" s="758"/>
      <c r="N118" s="758"/>
      <c r="O118" s="758"/>
      <c r="P118" s="758"/>
    </row>
    <row r="119" spans="10:16" x14ac:dyDescent="0.25">
      <c r="J119" s="755"/>
      <c r="K119" s="756">
        <v>292</v>
      </c>
      <c r="L119" s="757" t="s">
        <v>632</v>
      </c>
      <c r="M119" s="758"/>
      <c r="N119" s="758"/>
      <c r="O119" s="758"/>
      <c r="P119" s="758"/>
    </row>
    <row r="120" spans="10:16" x14ac:dyDescent="0.25">
      <c r="J120" s="755"/>
      <c r="K120" s="756">
        <v>293</v>
      </c>
      <c r="L120" s="757" t="s">
        <v>677</v>
      </c>
      <c r="M120" s="758"/>
      <c r="N120" s="758"/>
      <c r="O120" s="758"/>
      <c r="P120" s="758"/>
    </row>
    <row r="121" spans="10:16" x14ac:dyDescent="0.25">
      <c r="J121" s="755"/>
      <c r="K121" s="756">
        <v>294</v>
      </c>
      <c r="L121" s="757" t="s">
        <v>678</v>
      </c>
      <c r="M121" s="758"/>
      <c r="N121" s="758"/>
      <c r="O121" s="758"/>
      <c r="P121" s="758"/>
    </row>
    <row r="122" spans="10:16" x14ac:dyDescent="0.25">
      <c r="J122" s="755"/>
      <c r="K122" s="756">
        <v>295</v>
      </c>
      <c r="L122" s="757" t="s">
        <v>633</v>
      </c>
      <c r="M122" s="758"/>
      <c r="N122" s="758"/>
      <c r="O122" s="758"/>
      <c r="P122" s="758"/>
    </row>
    <row r="123" spans="10:16" x14ac:dyDescent="0.25">
      <c r="J123" s="755"/>
      <c r="K123" s="756">
        <v>297</v>
      </c>
      <c r="L123" s="757" t="s">
        <v>679</v>
      </c>
      <c r="M123" s="758"/>
      <c r="N123" s="758"/>
      <c r="O123" s="758"/>
      <c r="P123" s="758"/>
    </row>
    <row r="124" spans="10:16" x14ac:dyDescent="0.25">
      <c r="J124" s="755"/>
      <c r="K124" s="756">
        <v>298</v>
      </c>
      <c r="L124" s="757" t="s">
        <v>623</v>
      </c>
      <c r="M124" s="758"/>
      <c r="N124" s="758"/>
      <c r="O124" s="758"/>
      <c r="P124" s="758"/>
    </row>
    <row r="125" spans="10:16" x14ac:dyDescent="0.25">
      <c r="J125" s="755"/>
      <c r="K125" s="756">
        <v>299</v>
      </c>
      <c r="L125" s="757" t="s">
        <v>660</v>
      </c>
      <c r="M125" s="758"/>
      <c r="N125" s="758"/>
      <c r="O125" s="758"/>
      <c r="P125" s="758"/>
    </row>
    <row r="126" spans="10:16" x14ac:dyDescent="0.25">
      <c r="J126" s="743">
        <v>2</v>
      </c>
      <c r="K126" s="761" t="s">
        <v>680</v>
      </c>
      <c r="L126" s="762"/>
      <c r="M126" s="763"/>
      <c r="N126" s="763"/>
      <c r="O126" s="763"/>
      <c r="P126" s="763"/>
    </row>
    <row r="127" spans="10:16" x14ac:dyDescent="0.25">
      <c r="J127" s="743"/>
      <c r="K127" s="761" t="s">
        <v>681</v>
      </c>
      <c r="L127" s="762"/>
      <c r="M127" s="763"/>
      <c r="N127" s="763"/>
      <c r="O127" s="763"/>
      <c r="P127" s="763"/>
    </row>
    <row r="128" spans="10:16" x14ac:dyDescent="0.25">
      <c r="J128" s="767"/>
      <c r="K128" s="767"/>
      <c r="L128" s="767"/>
      <c r="M128" s="758"/>
      <c r="N128" s="758"/>
      <c r="O128" s="758"/>
      <c r="P128" s="758"/>
    </row>
    <row r="129" spans="10:16" x14ac:dyDescent="0.25">
      <c r="J129" s="767"/>
      <c r="K129" s="767"/>
      <c r="L129" s="767"/>
      <c r="M129" s="758"/>
      <c r="N129" s="758"/>
      <c r="O129" s="758"/>
      <c r="P129" s="758"/>
    </row>
    <row r="130" spans="10:16" x14ac:dyDescent="0.25">
      <c r="J130" s="768"/>
      <c r="K130" s="737" t="s">
        <v>682</v>
      </c>
      <c r="L130" s="738"/>
      <c r="M130" s="763"/>
      <c r="N130" s="763"/>
      <c r="O130" s="763"/>
      <c r="P130" s="763"/>
    </row>
    <row r="131" spans="10:16" x14ac:dyDescent="0.25">
      <c r="J131" s="743">
        <v>3</v>
      </c>
      <c r="K131" s="769" t="s">
        <v>683</v>
      </c>
      <c r="L131" s="770"/>
      <c r="M131" s="763"/>
      <c r="N131" s="763"/>
      <c r="O131" s="763"/>
      <c r="P131" s="763"/>
    </row>
    <row r="132" spans="10:16" x14ac:dyDescent="0.25">
      <c r="J132" s="749">
        <v>30</v>
      </c>
      <c r="K132" s="750" t="s">
        <v>684</v>
      </c>
      <c r="L132" s="751"/>
      <c r="M132" s="752"/>
      <c r="N132" s="752"/>
      <c r="O132" s="752"/>
      <c r="P132" s="752"/>
    </row>
    <row r="133" spans="10:16" x14ac:dyDescent="0.25">
      <c r="J133" s="755"/>
      <c r="K133" s="756">
        <v>300</v>
      </c>
      <c r="L133" s="757" t="s">
        <v>685</v>
      </c>
      <c r="M133" s="758"/>
      <c r="N133" s="758"/>
      <c r="O133" s="758"/>
      <c r="P133" s="758"/>
    </row>
    <row r="134" spans="10:16" x14ac:dyDescent="0.25">
      <c r="J134" s="755"/>
      <c r="K134" s="756">
        <v>301</v>
      </c>
      <c r="L134" s="757" t="s">
        <v>686</v>
      </c>
      <c r="M134" s="758"/>
      <c r="N134" s="758"/>
      <c r="O134" s="758"/>
      <c r="P134" s="758"/>
    </row>
    <row r="135" spans="10:16" x14ac:dyDescent="0.25">
      <c r="J135" s="755"/>
      <c r="K135" s="756">
        <v>302</v>
      </c>
      <c r="L135" s="757" t="s">
        <v>687</v>
      </c>
      <c r="M135" s="758"/>
      <c r="N135" s="758"/>
      <c r="O135" s="758"/>
      <c r="P135" s="758"/>
    </row>
    <row r="136" spans="10:16" x14ac:dyDescent="0.25">
      <c r="J136" s="755"/>
      <c r="K136" s="756">
        <v>303</v>
      </c>
      <c r="L136" s="757" t="s">
        <v>688</v>
      </c>
      <c r="M136" s="758"/>
      <c r="N136" s="758"/>
      <c r="O136" s="758"/>
      <c r="P136" s="758"/>
    </row>
    <row r="137" spans="10:16" x14ac:dyDescent="0.25">
      <c r="J137" s="755"/>
      <c r="K137" s="756">
        <v>304</v>
      </c>
      <c r="L137" s="757" t="s">
        <v>689</v>
      </c>
      <c r="M137" s="758"/>
      <c r="N137" s="758"/>
      <c r="O137" s="758"/>
      <c r="P137" s="758"/>
    </row>
    <row r="138" spans="10:16" x14ac:dyDescent="0.25">
      <c r="J138" s="755"/>
      <c r="K138" s="756">
        <v>305</v>
      </c>
      <c r="L138" s="757" t="s">
        <v>690</v>
      </c>
      <c r="M138" s="758"/>
      <c r="N138" s="758"/>
      <c r="O138" s="758"/>
      <c r="P138" s="758"/>
    </row>
    <row r="139" spans="10:16" x14ac:dyDescent="0.25">
      <c r="J139" s="755"/>
      <c r="K139" s="756">
        <v>306</v>
      </c>
      <c r="L139" s="757" t="s">
        <v>691</v>
      </c>
      <c r="M139" s="758"/>
      <c r="N139" s="758"/>
      <c r="O139" s="758"/>
      <c r="P139" s="758"/>
    </row>
    <row r="140" spans="10:16" x14ac:dyDescent="0.25">
      <c r="J140" s="755"/>
      <c r="K140" s="756">
        <v>308</v>
      </c>
      <c r="L140" s="757" t="s">
        <v>692</v>
      </c>
      <c r="M140" s="758"/>
      <c r="N140" s="758"/>
      <c r="O140" s="758"/>
      <c r="P140" s="758"/>
    </row>
    <row r="141" spans="10:16" x14ac:dyDescent="0.25">
      <c r="J141" s="755"/>
      <c r="K141" s="756">
        <v>309</v>
      </c>
      <c r="L141" s="757" t="s">
        <v>693</v>
      </c>
      <c r="M141" s="758"/>
      <c r="N141" s="758"/>
      <c r="O141" s="758"/>
      <c r="P141" s="758"/>
    </row>
    <row r="142" spans="10:16" x14ac:dyDescent="0.25">
      <c r="J142" s="749">
        <v>32</v>
      </c>
      <c r="K142" s="750" t="s">
        <v>11</v>
      </c>
      <c r="L142" s="751"/>
      <c r="M142" s="752"/>
      <c r="N142" s="752"/>
      <c r="O142" s="752"/>
      <c r="P142" s="752"/>
    </row>
    <row r="143" spans="10:16" x14ac:dyDescent="0.25">
      <c r="J143" s="755"/>
      <c r="K143" s="756">
        <v>320</v>
      </c>
      <c r="L143" s="757" t="s">
        <v>694</v>
      </c>
      <c r="M143" s="758"/>
      <c r="N143" s="758"/>
      <c r="O143" s="758"/>
      <c r="P143" s="758"/>
    </row>
    <row r="144" spans="10:16" x14ac:dyDescent="0.25">
      <c r="J144" s="755"/>
      <c r="K144" s="756">
        <v>321</v>
      </c>
      <c r="L144" s="757" t="s">
        <v>695</v>
      </c>
      <c r="M144" s="758"/>
      <c r="N144" s="758"/>
      <c r="O144" s="758"/>
      <c r="P144" s="758"/>
    </row>
    <row r="145" spans="10:16" x14ac:dyDescent="0.25">
      <c r="J145" s="755"/>
      <c r="K145" s="756">
        <v>322</v>
      </c>
      <c r="L145" s="757" t="s">
        <v>696</v>
      </c>
      <c r="M145" s="758"/>
      <c r="N145" s="758"/>
      <c r="O145" s="758"/>
      <c r="P145" s="758"/>
    </row>
    <row r="146" spans="10:16" x14ac:dyDescent="0.25">
      <c r="J146" s="755"/>
      <c r="K146" s="756">
        <v>326</v>
      </c>
      <c r="L146" s="757" t="s">
        <v>697</v>
      </c>
      <c r="M146" s="758"/>
      <c r="N146" s="758"/>
      <c r="O146" s="758"/>
      <c r="P146" s="758"/>
    </row>
    <row r="147" spans="10:16" x14ac:dyDescent="0.25">
      <c r="J147" s="755"/>
      <c r="K147" s="756">
        <v>329</v>
      </c>
      <c r="L147" s="757" t="s">
        <v>698</v>
      </c>
      <c r="M147" s="758"/>
      <c r="N147" s="758"/>
      <c r="O147" s="758"/>
      <c r="P147" s="758"/>
    </row>
    <row r="148" spans="10:16" x14ac:dyDescent="0.25">
      <c r="J148" s="749">
        <v>33</v>
      </c>
      <c r="K148" s="750" t="s">
        <v>99</v>
      </c>
      <c r="L148" s="751"/>
      <c r="M148" s="752"/>
      <c r="N148" s="752"/>
      <c r="O148" s="752"/>
      <c r="P148" s="752"/>
    </row>
    <row r="149" spans="10:16" x14ac:dyDescent="0.25">
      <c r="J149" s="755"/>
      <c r="K149" s="756">
        <v>331</v>
      </c>
      <c r="L149" s="757" t="s">
        <v>699</v>
      </c>
      <c r="M149" s="758"/>
      <c r="N149" s="758"/>
      <c r="O149" s="758"/>
      <c r="P149" s="758"/>
    </row>
    <row r="150" spans="10:16" x14ac:dyDescent="0.25">
      <c r="J150" s="755"/>
      <c r="K150" s="756">
        <v>332</v>
      </c>
      <c r="L150" s="757" t="s">
        <v>700</v>
      </c>
      <c r="M150" s="758"/>
      <c r="N150" s="758"/>
      <c r="O150" s="758"/>
      <c r="P150" s="758"/>
    </row>
    <row r="151" spans="10:16" x14ac:dyDescent="0.25">
      <c r="J151" s="755"/>
      <c r="K151" s="756">
        <v>333</v>
      </c>
      <c r="L151" s="757" t="s">
        <v>701</v>
      </c>
      <c r="M151" s="758"/>
      <c r="N151" s="758"/>
      <c r="O151" s="758"/>
      <c r="P151" s="758"/>
    </row>
    <row r="152" spans="10:16" x14ac:dyDescent="0.25">
      <c r="J152" s="755"/>
      <c r="K152" s="756">
        <v>335</v>
      </c>
      <c r="L152" s="757" t="s">
        <v>702</v>
      </c>
      <c r="M152" s="758"/>
      <c r="N152" s="758"/>
      <c r="O152" s="758"/>
      <c r="P152" s="758"/>
    </row>
    <row r="153" spans="10:16" x14ac:dyDescent="0.25">
      <c r="J153" s="755"/>
      <c r="K153" s="756">
        <v>336</v>
      </c>
      <c r="L153" s="757" t="s">
        <v>703</v>
      </c>
      <c r="M153" s="758"/>
      <c r="N153" s="758"/>
      <c r="O153" s="758"/>
      <c r="P153" s="758"/>
    </row>
    <row r="154" spans="10:16" x14ac:dyDescent="0.25">
      <c r="J154" s="755"/>
      <c r="K154" s="756">
        <v>337</v>
      </c>
      <c r="L154" s="757" t="s">
        <v>704</v>
      </c>
      <c r="M154" s="758"/>
      <c r="N154" s="758"/>
      <c r="O154" s="758"/>
      <c r="P154" s="758"/>
    </row>
    <row r="155" spans="10:16" x14ac:dyDescent="0.25">
      <c r="J155" s="749">
        <v>34</v>
      </c>
      <c r="K155" s="750" t="s">
        <v>66</v>
      </c>
      <c r="L155" s="751"/>
      <c r="M155" s="752"/>
      <c r="N155" s="752"/>
      <c r="O155" s="752"/>
      <c r="P155" s="752"/>
    </row>
    <row r="156" spans="10:16" x14ac:dyDescent="0.25">
      <c r="J156" s="755"/>
      <c r="K156" s="756">
        <v>340</v>
      </c>
      <c r="L156" s="757" t="s">
        <v>705</v>
      </c>
      <c r="M156" s="758"/>
      <c r="N156" s="758"/>
      <c r="O156" s="758"/>
      <c r="P156" s="758"/>
    </row>
    <row r="157" spans="10:16" x14ac:dyDescent="0.25">
      <c r="J157" s="755"/>
      <c r="K157" s="756">
        <v>349</v>
      </c>
      <c r="L157" s="757" t="s">
        <v>706</v>
      </c>
      <c r="M157" s="758"/>
      <c r="N157" s="758"/>
      <c r="O157" s="758"/>
      <c r="P157" s="758"/>
    </row>
    <row r="158" spans="10:16" x14ac:dyDescent="0.25">
      <c r="J158" s="749">
        <v>35</v>
      </c>
      <c r="K158" s="750" t="s">
        <v>707</v>
      </c>
      <c r="L158" s="751"/>
      <c r="M158" s="752"/>
      <c r="N158" s="752"/>
      <c r="O158" s="752"/>
      <c r="P158" s="752"/>
    </row>
    <row r="159" spans="10:16" x14ac:dyDescent="0.25">
      <c r="J159" s="755"/>
      <c r="K159" s="756">
        <v>350</v>
      </c>
      <c r="L159" s="757" t="s">
        <v>708</v>
      </c>
      <c r="M159" s="758"/>
      <c r="N159" s="758"/>
      <c r="O159" s="758"/>
      <c r="P159" s="758"/>
    </row>
    <row r="160" spans="10:16" x14ac:dyDescent="0.25">
      <c r="J160" s="749">
        <v>36</v>
      </c>
      <c r="K160" s="750" t="s">
        <v>709</v>
      </c>
      <c r="L160" s="751"/>
      <c r="M160" s="752"/>
      <c r="N160" s="752"/>
      <c r="O160" s="752"/>
      <c r="P160" s="752"/>
    </row>
    <row r="161" spans="10:16" x14ac:dyDescent="0.25">
      <c r="J161" s="755"/>
      <c r="K161" s="756">
        <v>360</v>
      </c>
      <c r="L161" s="757" t="s">
        <v>710</v>
      </c>
      <c r="M161" s="758"/>
      <c r="N161" s="758"/>
      <c r="O161" s="758"/>
      <c r="P161" s="758"/>
    </row>
    <row r="162" spans="10:16" x14ac:dyDescent="0.25">
      <c r="J162" s="755"/>
      <c r="K162" s="756">
        <v>361</v>
      </c>
      <c r="L162" s="757" t="s">
        <v>711</v>
      </c>
      <c r="M162" s="758"/>
      <c r="N162" s="758"/>
      <c r="O162" s="758"/>
      <c r="P162" s="758"/>
    </row>
    <row r="163" spans="10:16" x14ac:dyDescent="0.25">
      <c r="J163" s="755"/>
      <c r="K163" s="756">
        <v>368</v>
      </c>
      <c r="L163" s="757" t="s">
        <v>712</v>
      </c>
      <c r="M163" s="758"/>
      <c r="N163" s="758"/>
      <c r="O163" s="758"/>
      <c r="P163" s="758"/>
    </row>
    <row r="164" spans="10:16" x14ac:dyDescent="0.25">
      <c r="J164" s="755"/>
      <c r="K164" s="756">
        <v>369</v>
      </c>
      <c r="L164" s="757" t="s">
        <v>713</v>
      </c>
      <c r="M164" s="758"/>
      <c r="N164" s="758"/>
      <c r="O164" s="758"/>
      <c r="P164" s="758"/>
    </row>
    <row r="165" spans="10:16" x14ac:dyDescent="0.25">
      <c r="J165" s="749">
        <v>37</v>
      </c>
      <c r="K165" s="750" t="s">
        <v>130</v>
      </c>
      <c r="L165" s="751"/>
      <c r="M165" s="752"/>
      <c r="N165" s="752"/>
      <c r="O165" s="752"/>
      <c r="P165" s="752"/>
    </row>
    <row r="166" spans="10:16" x14ac:dyDescent="0.25">
      <c r="J166" s="755"/>
      <c r="K166" s="756">
        <v>370</v>
      </c>
      <c r="L166" s="757" t="s">
        <v>714</v>
      </c>
      <c r="M166" s="758"/>
      <c r="N166" s="758"/>
      <c r="O166" s="758"/>
      <c r="P166" s="758"/>
    </row>
    <row r="167" spans="10:16" x14ac:dyDescent="0.25">
      <c r="J167" s="755"/>
      <c r="K167" s="756"/>
      <c r="L167" s="757" t="s">
        <v>715</v>
      </c>
      <c r="M167" s="758"/>
      <c r="N167" s="758"/>
      <c r="O167" s="758"/>
      <c r="P167" s="758"/>
    </row>
    <row r="168" spans="10:16" x14ac:dyDescent="0.25">
      <c r="J168" s="755"/>
      <c r="K168" s="756">
        <v>371</v>
      </c>
      <c r="L168" s="757" t="s">
        <v>716</v>
      </c>
      <c r="M168" s="758"/>
      <c r="N168" s="758"/>
      <c r="O168" s="758"/>
      <c r="P168" s="758"/>
    </row>
    <row r="169" spans="10:16" x14ac:dyDescent="0.25">
      <c r="J169" s="755"/>
      <c r="K169" s="756"/>
      <c r="L169" s="757" t="s">
        <v>717</v>
      </c>
      <c r="M169" s="758"/>
      <c r="N169" s="758"/>
      <c r="O169" s="758"/>
      <c r="P169" s="758"/>
    </row>
    <row r="170" spans="10:16" x14ac:dyDescent="0.25">
      <c r="J170" s="755"/>
      <c r="K170" s="756">
        <v>372</v>
      </c>
      <c r="L170" s="757" t="s">
        <v>718</v>
      </c>
      <c r="M170" s="758"/>
      <c r="N170" s="758"/>
      <c r="O170" s="758"/>
      <c r="P170" s="758"/>
    </row>
    <row r="171" spans="10:16" x14ac:dyDescent="0.25">
      <c r="J171" s="755"/>
      <c r="K171" s="756">
        <v>373</v>
      </c>
      <c r="L171" s="757" t="s">
        <v>719</v>
      </c>
      <c r="M171" s="758"/>
      <c r="N171" s="758"/>
      <c r="O171" s="758"/>
      <c r="P171" s="758"/>
    </row>
    <row r="172" spans="10:16" x14ac:dyDescent="0.25">
      <c r="J172" s="755"/>
      <c r="K172" s="756">
        <v>379</v>
      </c>
      <c r="L172" s="757" t="s">
        <v>720</v>
      </c>
      <c r="M172" s="758"/>
      <c r="N172" s="758"/>
      <c r="O172" s="758"/>
      <c r="P172" s="758"/>
    </row>
    <row r="173" spans="10:16" x14ac:dyDescent="0.25">
      <c r="J173" s="749">
        <v>38</v>
      </c>
      <c r="K173" s="750" t="s">
        <v>721</v>
      </c>
      <c r="L173" s="751"/>
      <c r="M173" s="752"/>
      <c r="N173" s="752"/>
      <c r="O173" s="752"/>
      <c r="P173" s="752"/>
    </row>
    <row r="174" spans="10:16" x14ac:dyDescent="0.25">
      <c r="J174" s="755"/>
      <c r="K174" s="756">
        <v>380</v>
      </c>
      <c r="L174" s="757" t="s">
        <v>722</v>
      </c>
      <c r="M174" s="758"/>
      <c r="N174" s="758"/>
      <c r="O174" s="758"/>
      <c r="P174" s="758"/>
    </row>
    <row r="175" spans="10:16" x14ac:dyDescent="0.25">
      <c r="J175" s="755"/>
      <c r="K175" s="756">
        <v>381</v>
      </c>
      <c r="L175" s="757" t="s">
        <v>723</v>
      </c>
      <c r="M175" s="758"/>
      <c r="N175" s="758"/>
      <c r="O175" s="758"/>
      <c r="P175" s="758"/>
    </row>
    <row r="176" spans="10:16" x14ac:dyDescent="0.25">
      <c r="J176" s="749">
        <v>39</v>
      </c>
      <c r="K176" s="750" t="s">
        <v>724</v>
      </c>
      <c r="L176" s="751"/>
      <c r="M176" s="752"/>
      <c r="N176" s="752"/>
      <c r="O176" s="752"/>
      <c r="P176" s="752"/>
    </row>
    <row r="177" spans="10:16" x14ac:dyDescent="0.25">
      <c r="J177" s="755"/>
      <c r="K177" s="756">
        <v>391</v>
      </c>
      <c r="L177" s="757" t="s">
        <v>725</v>
      </c>
      <c r="M177" s="758"/>
      <c r="N177" s="758"/>
      <c r="O177" s="758"/>
      <c r="P177" s="758"/>
    </row>
    <row r="178" spans="10:16" x14ac:dyDescent="0.25">
      <c r="J178" s="755"/>
      <c r="K178" s="756">
        <v>392</v>
      </c>
      <c r="L178" s="757" t="s">
        <v>632</v>
      </c>
      <c r="M178" s="758"/>
      <c r="N178" s="758"/>
      <c r="O178" s="758"/>
      <c r="P178" s="758"/>
    </row>
    <row r="179" spans="10:16" x14ac:dyDescent="0.25">
      <c r="J179" s="755"/>
      <c r="K179" s="756">
        <v>393</v>
      </c>
      <c r="L179" s="757" t="s">
        <v>726</v>
      </c>
      <c r="M179" s="758"/>
      <c r="N179" s="758"/>
      <c r="O179" s="758"/>
      <c r="P179" s="758"/>
    </row>
    <row r="180" spans="10:16" x14ac:dyDescent="0.25">
      <c r="J180" s="755"/>
      <c r="K180" s="756">
        <v>397</v>
      </c>
      <c r="L180" s="757" t="s">
        <v>727</v>
      </c>
      <c r="M180" s="758"/>
      <c r="N180" s="758"/>
      <c r="O180" s="758"/>
      <c r="P180" s="758"/>
    </row>
    <row r="181" spans="10:16" x14ac:dyDescent="0.25">
      <c r="J181" s="755"/>
      <c r="K181" s="756">
        <v>399</v>
      </c>
      <c r="L181" s="757" t="s">
        <v>728</v>
      </c>
      <c r="M181" s="758"/>
      <c r="N181" s="758"/>
      <c r="O181" s="758"/>
      <c r="P181" s="758"/>
    </row>
    <row r="182" spans="10:16" x14ac:dyDescent="0.25">
      <c r="J182" s="743">
        <v>3</v>
      </c>
      <c r="K182" s="769" t="s">
        <v>729</v>
      </c>
      <c r="L182" s="770"/>
      <c r="M182" s="763"/>
      <c r="N182" s="763"/>
      <c r="O182" s="763"/>
      <c r="P182" s="763"/>
    </row>
    <row r="183" spans="10:16" x14ac:dyDescent="0.25">
      <c r="J183" s="743">
        <v>4</v>
      </c>
      <c r="K183" s="761" t="s">
        <v>730</v>
      </c>
      <c r="L183" s="762"/>
      <c r="M183" s="763"/>
      <c r="N183" s="763"/>
      <c r="O183" s="763"/>
      <c r="P183" s="763"/>
    </row>
    <row r="184" spans="10:16" x14ac:dyDescent="0.25">
      <c r="J184" s="749">
        <v>40</v>
      </c>
      <c r="K184" s="750" t="s">
        <v>684</v>
      </c>
      <c r="L184" s="751"/>
      <c r="M184" s="752"/>
      <c r="N184" s="752"/>
      <c r="O184" s="752"/>
      <c r="P184" s="752"/>
    </row>
    <row r="185" spans="10:16" x14ac:dyDescent="0.25">
      <c r="J185" s="755"/>
      <c r="K185" s="756">
        <v>400</v>
      </c>
      <c r="L185" s="757" t="s">
        <v>731</v>
      </c>
      <c r="M185" s="758"/>
      <c r="N185" s="758"/>
      <c r="O185" s="758"/>
      <c r="P185" s="758"/>
    </row>
    <row r="186" spans="10:16" x14ac:dyDescent="0.25">
      <c r="J186" s="755"/>
      <c r="K186" s="756">
        <v>401</v>
      </c>
      <c r="L186" s="757" t="s">
        <v>732</v>
      </c>
      <c r="M186" s="758"/>
      <c r="N186" s="758"/>
      <c r="O186" s="758"/>
      <c r="P186" s="758"/>
    </row>
    <row r="187" spans="10:16" x14ac:dyDescent="0.25">
      <c r="J187" s="755"/>
      <c r="K187" s="756">
        <v>402</v>
      </c>
      <c r="L187" s="757" t="s">
        <v>733</v>
      </c>
      <c r="M187" s="758"/>
      <c r="N187" s="758"/>
      <c r="O187" s="758"/>
      <c r="P187" s="758"/>
    </row>
    <row r="188" spans="10:16" x14ac:dyDescent="0.25">
      <c r="J188" s="755"/>
      <c r="K188" s="756">
        <v>408</v>
      </c>
      <c r="L188" s="757" t="s">
        <v>734</v>
      </c>
      <c r="M188" s="758"/>
      <c r="N188" s="758"/>
      <c r="O188" s="758"/>
      <c r="P188" s="758"/>
    </row>
    <row r="189" spans="10:16" x14ac:dyDescent="0.25">
      <c r="J189" s="755"/>
      <c r="K189" s="756">
        <v>409</v>
      </c>
      <c r="L189" s="757" t="s">
        <v>693</v>
      </c>
      <c r="M189" s="758"/>
      <c r="N189" s="758"/>
      <c r="O189" s="758"/>
      <c r="P189" s="758"/>
    </row>
    <row r="190" spans="10:16" x14ac:dyDescent="0.25">
      <c r="J190" s="749">
        <v>42</v>
      </c>
      <c r="K190" s="750" t="s">
        <v>11</v>
      </c>
      <c r="L190" s="751"/>
      <c r="M190" s="752"/>
      <c r="N190" s="752"/>
      <c r="O190" s="752"/>
      <c r="P190" s="752"/>
    </row>
    <row r="191" spans="10:16" x14ac:dyDescent="0.25">
      <c r="J191" s="755"/>
      <c r="K191" s="756">
        <v>420</v>
      </c>
      <c r="L191" s="757" t="s">
        <v>694</v>
      </c>
      <c r="M191" s="758"/>
      <c r="N191" s="758"/>
      <c r="O191" s="758"/>
      <c r="P191" s="758"/>
    </row>
    <row r="192" spans="10:16" x14ac:dyDescent="0.25">
      <c r="J192" s="755"/>
      <c r="K192" s="756">
        <v>421</v>
      </c>
      <c r="L192" s="757" t="s">
        <v>695</v>
      </c>
      <c r="M192" s="758"/>
      <c r="N192" s="758"/>
      <c r="O192" s="758"/>
      <c r="P192" s="758"/>
    </row>
    <row r="193" spans="10:16" x14ac:dyDescent="0.25">
      <c r="J193" s="755"/>
      <c r="K193" s="756">
        <v>422</v>
      </c>
      <c r="L193" s="757" t="s">
        <v>696</v>
      </c>
      <c r="M193" s="758"/>
      <c r="N193" s="758"/>
      <c r="O193" s="758"/>
      <c r="P193" s="758"/>
    </row>
    <row r="194" spans="10:16" x14ac:dyDescent="0.25">
      <c r="J194" s="755"/>
      <c r="K194" s="756">
        <v>426</v>
      </c>
      <c r="L194" s="757" t="s">
        <v>697</v>
      </c>
      <c r="M194" s="758"/>
      <c r="N194" s="758"/>
      <c r="O194" s="758"/>
      <c r="P194" s="758"/>
    </row>
    <row r="195" spans="10:16" x14ac:dyDescent="0.25">
      <c r="J195" s="755"/>
      <c r="K195" s="756">
        <v>429</v>
      </c>
      <c r="L195" s="757" t="s">
        <v>698</v>
      </c>
      <c r="M195" s="758"/>
      <c r="N195" s="758"/>
      <c r="O195" s="758"/>
      <c r="P195" s="758"/>
    </row>
    <row r="196" spans="10:16" x14ac:dyDescent="0.25">
      <c r="J196" s="749">
        <v>43</v>
      </c>
      <c r="K196" s="750" t="s">
        <v>99</v>
      </c>
      <c r="L196" s="751"/>
      <c r="M196" s="752"/>
      <c r="N196" s="752"/>
      <c r="O196" s="752"/>
      <c r="P196" s="752"/>
    </row>
    <row r="197" spans="10:16" x14ac:dyDescent="0.25">
      <c r="J197" s="755"/>
      <c r="K197" s="756">
        <v>431</v>
      </c>
      <c r="L197" s="757" t="s">
        <v>699</v>
      </c>
      <c r="M197" s="758"/>
      <c r="N197" s="758"/>
      <c r="O197" s="758"/>
      <c r="P197" s="758"/>
    </row>
    <row r="198" spans="10:16" x14ac:dyDescent="0.25">
      <c r="J198" s="755"/>
      <c r="K198" s="756">
        <v>432</v>
      </c>
      <c r="L198" s="757" t="s">
        <v>735</v>
      </c>
      <c r="M198" s="758"/>
      <c r="N198" s="758"/>
      <c r="O198" s="758"/>
      <c r="P198" s="758"/>
    </row>
    <row r="199" spans="10:16" x14ac:dyDescent="0.25">
      <c r="J199" s="755"/>
      <c r="K199" s="756">
        <v>433</v>
      </c>
      <c r="L199" s="757" t="s">
        <v>701</v>
      </c>
      <c r="M199" s="758"/>
      <c r="N199" s="758"/>
      <c r="O199" s="758"/>
      <c r="P199" s="758"/>
    </row>
    <row r="200" spans="10:16" x14ac:dyDescent="0.25">
      <c r="J200" s="755"/>
      <c r="K200" s="756">
        <v>436</v>
      </c>
      <c r="L200" s="757" t="s">
        <v>703</v>
      </c>
      <c r="M200" s="758"/>
      <c r="N200" s="758"/>
      <c r="O200" s="758"/>
      <c r="P200" s="758"/>
    </row>
    <row r="201" spans="10:16" x14ac:dyDescent="0.25">
      <c r="J201" s="755"/>
      <c r="K201" s="756">
        <v>437</v>
      </c>
      <c r="L201" s="757" t="s">
        <v>704</v>
      </c>
      <c r="M201" s="758"/>
      <c r="N201" s="758"/>
      <c r="O201" s="758"/>
      <c r="P201" s="758"/>
    </row>
    <row r="202" spans="10:16" x14ac:dyDescent="0.25">
      <c r="J202" s="755"/>
      <c r="K202" s="756">
        <v>438</v>
      </c>
      <c r="L202" s="757" t="s">
        <v>736</v>
      </c>
      <c r="M202" s="758"/>
      <c r="N202" s="758"/>
      <c r="O202" s="758"/>
      <c r="P202" s="758"/>
    </row>
    <row r="203" spans="10:16" x14ac:dyDescent="0.25">
      <c r="J203" s="755"/>
      <c r="K203" s="756"/>
      <c r="L203" s="757" t="s">
        <v>737</v>
      </c>
      <c r="M203" s="758"/>
      <c r="N203" s="758"/>
      <c r="O203" s="758"/>
      <c r="P203" s="758"/>
    </row>
    <row r="204" spans="10:16" x14ac:dyDescent="0.25">
      <c r="J204" s="749">
        <v>44</v>
      </c>
      <c r="K204" s="750" t="s">
        <v>66</v>
      </c>
      <c r="L204" s="751"/>
      <c r="M204" s="752"/>
      <c r="N204" s="752"/>
      <c r="O204" s="752"/>
      <c r="P204" s="752"/>
    </row>
    <row r="205" spans="10:16" x14ac:dyDescent="0.25">
      <c r="J205" s="755"/>
      <c r="K205" s="756">
        <v>440</v>
      </c>
      <c r="L205" s="757" t="s">
        <v>705</v>
      </c>
      <c r="M205" s="758"/>
      <c r="N205" s="758"/>
      <c r="O205" s="758"/>
      <c r="P205" s="758"/>
    </row>
    <row r="206" spans="10:16" x14ac:dyDescent="0.25">
      <c r="J206" s="755"/>
      <c r="K206" s="756">
        <v>449</v>
      </c>
      <c r="L206" s="757" t="s">
        <v>706</v>
      </c>
      <c r="M206" s="758"/>
      <c r="N206" s="758"/>
      <c r="O206" s="758"/>
      <c r="P206" s="758"/>
    </row>
    <row r="207" spans="10:16" x14ac:dyDescent="0.25">
      <c r="J207" s="749">
        <v>47</v>
      </c>
      <c r="K207" s="750" t="s">
        <v>130</v>
      </c>
      <c r="L207" s="751"/>
      <c r="M207" s="752"/>
      <c r="N207" s="752"/>
      <c r="O207" s="752"/>
      <c r="P207" s="752"/>
    </row>
    <row r="208" spans="10:16" x14ac:dyDescent="0.25">
      <c r="J208" s="755"/>
      <c r="K208" s="756">
        <v>472</v>
      </c>
      <c r="L208" s="757" t="s">
        <v>718</v>
      </c>
      <c r="M208" s="758"/>
      <c r="N208" s="758"/>
      <c r="O208" s="758"/>
      <c r="P208" s="758"/>
    </row>
    <row r="209" spans="10:16" x14ac:dyDescent="0.25">
      <c r="J209" s="755"/>
      <c r="K209" s="756">
        <v>479</v>
      </c>
      <c r="L209" s="757" t="s">
        <v>720</v>
      </c>
      <c r="M209" s="758"/>
      <c r="N209" s="758"/>
      <c r="O209" s="758"/>
      <c r="P209" s="758"/>
    </row>
    <row r="210" spans="10:16" x14ac:dyDescent="0.25">
      <c r="J210" s="749">
        <v>48</v>
      </c>
      <c r="K210" s="750" t="s">
        <v>738</v>
      </c>
      <c r="L210" s="751"/>
      <c r="M210" s="766"/>
      <c r="N210" s="766"/>
      <c r="O210" s="766"/>
      <c r="P210" s="758"/>
    </row>
    <row r="211" spans="10:16" x14ac:dyDescent="0.25">
      <c r="J211" s="755"/>
      <c r="K211" s="756">
        <v>480</v>
      </c>
      <c r="L211" s="757" t="s">
        <v>739</v>
      </c>
      <c r="M211" s="758"/>
      <c r="N211" s="758"/>
      <c r="O211" s="758"/>
      <c r="P211" s="758"/>
    </row>
    <row r="212" spans="10:16" x14ac:dyDescent="0.25">
      <c r="J212" s="755"/>
      <c r="K212" s="756">
        <v>481</v>
      </c>
      <c r="L212" s="757" t="s">
        <v>723</v>
      </c>
      <c r="M212" s="758"/>
      <c r="N212" s="758"/>
      <c r="O212" s="758"/>
      <c r="P212" s="758"/>
    </row>
    <row r="213" spans="10:16" x14ac:dyDescent="0.25">
      <c r="J213" s="749">
        <v>49</v>
      </c>
      <c r="K213" s="750" t="s">
        <v>740</v>
      </c>
      <c r="L213" s="751"/>
      <c r="M213" s="752"/>
      <c r="N213" s="752"/>
      <c r="O213" s="752"/>
      <c r="P213" s="758"/>
    </row>
    <row r="214" spans="10:16" x14ac:dyDescent="0.25">
      <c r="J214" s="755"/>
      <c r="K214" s="756">
        <v>492</v>
      </c>
      <c r="L214" s="757" t="s">
        <v>741</v>
      </c>
      <c r="M214" s="758"/>
      <c r="N214" s="758"/>
      <c r="O214" s="758"/>
      <c r="P214" s="758"/>
    </row>
    <row r="215" spans="10:16" x14ac:dyDescent="0.25">
      <c r="J215" s="755"/>
      <c r="K215" s="756"/>
      <c r="L215" s="757" t="s">
        <v>742</v>
      </c>
      <c r="M215" s="758"/>
      <c r="N215" s="758"/>
      <c r="O215" s="758"/>
      <c r="P215" s="758"/>
    </row>
    <row r="216" spans="10:16" x14ac:dyDescent="0.25">
      <c r="J216" s="755"/>
      <c r="K216" s="756">
        <v>493</v>
      </c>
      <c r="L216" s="757" t="s">
        <v>743</v>
      </c>
      <c r="M216" s="758"/>
      <c r="N216" s="758"/>
      <c r="O216" s="758"/>
      <c r="P216" s="758"/>
    </row>
    <row r="217" spans="10:16" x14ac:dyDescent="0.25">
      <c r="J217" s="755"/>
      <c r="K217" s="756">
        <v>499</v>
      </c>
      <c r="L217" s="757" t="s">
        <v>744</v>
      </c>
      <c r="M217" s="758"/>
      <c r="N217" s="758"/>
      <c r="O217" s="758"/>
      <c r="P217" s="758"/>
    </row>
    <row r="218" spans="10:16" x14ac:dyDescent="0.25">
      <c r="J218" s="743">
        <v>4</v>
      </c>
      <c r="K218" s="769" t="s">
        <v>745</v>
      </c>
      <c r="L218" s="770"/>
      <c r="M218" s="763"/>
      <c r="N218" s="763"/>
      <c r="O218" s="763"/>
      <c r="P218" s="763"/>
    </row>
    <row r="219" spans="10:16" x14ac:dyDescent="0.25">
      <c r="J219" s="743">
        <v>5</v>
      </c>
      <c r="K219" s="769" t="s">
        <v>746</v>
      </c>
      <c r="L219" s="770"/>
      <c r="M219" s="763"/>
      <c r="N219" s="763"/>
      <c r="O219" s="763"/>
      <c r="P219" s="763"/>
    </row>
    <row r="220" spans="10:16" x14ac:dyDescent="0.25">
      <c r="J220" s="749">
        <v>50</v>
      </c>
      <c r="K220" s="750" t="s">
        <v>747</v>
      </c>
      <c r="L220" s="751"/>
      <c r="M220" s="752"/>
      <c r="N220" s="752"/>
      <c r="O220" s="752"/>
      <c r="P220" s="752"/>
    </row>
    <row r="221" spans="10:16" x14ac:dyDescent="0.25">
      <c r="J221" s="755"/>
      <c r="K221" s="756">
        <v>500</v>
      </c>
      <c r="L221" s="757" t="s">
        <v>18</v>
      </c>
      <c r="M221" s="758"/>
      <c r="N221" s="758"/>
      <c r="O221" s="758"/>
      <c r="P221" s="758"/>
    </row>
    <row r="222" spans="10:16" x14ac:dyDescent="0.25">
      <c r="J222" s="755"/>
      <c r="K222" s="756">
        <v>501</v>
      </c>
      <c r="L222" s="757" t="s">
        <v>748</v>
      </c>
      <c r="M222" s="758"/>
      <c r="N222" s="758"/>
      <c r="O222" s="758"/>
      <c r="P222" s="758"/>
    </row>
    <row r="223" spans="10:16" x14ac:dyDescent="0.25">
      <c r="J223" s="755"/>
      <c r="K223" s="756">
        <v>502</v>
      </c>
      <c r="L223" s="757" t="s">
        <v>749</v>
      </c>
      <c r="M223" s="758"/>
      <c r="N223" s="758"/>
      <c r="O223" s="758"/>
      <c r="P223" s="758"/>
    </row>
    <row r="224" spans="10:16" x14ac:dyDescent="0.25">
      <c r="J224" s="749">
        <v>52</v>
      </c>
      <c r="K224" s="750" t="s">
        <v>20</v>
      </c>
      <c r="L224" s="751"/>
      <c r="M224" s="752"/>
      <c r="N224" s="752"/>
      <c r="O224" s="752"/>
      <c r="P224" s="752"/>
    </row>
    <row r="225" spans="10:16" x14ac:dyDescent="0.25">
      <c r="J225" s="755"/>
      <c r="K225" s="756">
        <v>520</v>
      </c>
      <c r="L225" s="757" t="s">
        <v>750</v>
      </c>
      <c r="M225" s="758"/>
      <c r="N225" s="758"/>
      <c r="O225" s="758"/>
      <c r="P225" s="758"/>
    </row>
    <row r="226" spans="10:16" x14ac:dyDescent="0.25">
      <c r="J226" s="755"/>
      <c r="K226" s="756">
        <v>521</v>
      </c>
      <c r="L226" s="757" t="s">
        <v>751</v>
      </c>
      <c r="M226" s="758"/>
      <c r="N226" s="758"/>
      <c r="O226" s="758"/>
      <c r="P226" s="758"/>
    </row>
    <row r="227" spans="10:16" x14ac:dyDescent="0.25">
      <c r="J227" s="755"/>
      <c r="K227" s="756">
        <v>522</v>
      </c>
      <c r="L227" s="757" t="s">
        <v>752</v>
      </c>
      <c r="M227" s="758"/>
      <c r="N227" s="758"/>
      <c r="O227" s="758"/>
      <c r="P227" s="758"/>
    </row>
    <row r="228" spans="10:16" x14ac:dyDescent="0.25">
      <c r="J228" s="755"/>
      <c r="K228" s="756">
        <v>523</v>
      </c>
      <c r="L228" s="757" t="s">
        <v>753</v>
      </c>
      <c r="M228" s="758"/>
      <c r="N228" s="758"/>
      <c r="O228" s="758"/>
      <c r="P228" s="758"/>
    </row>
    <row r="229" spans="10:16" x14ac:dyDescent="0.25">
      <c r="J229" s="755"/>
      <c r="K229" s="756">
        <v>529</v>
      </c>
      <c r="L229" s="757" t="s">
        <v>754</v>
      </c>
      <c r="M229" s="758"/>
      <c r="N229" s="758"/>
      <c r="O229" s="758"/>
      <c r="P229" s="758"/>
    </row>
    <row r="230" spans="10:16" x14ac:dyDescent="0.25">
      <c r="J230" s="749">
        <v>54</v>
      </c>
      <c r="K230" s="750" t="s">
        <v>23</v>
      </c>
      <c r="L230" s="751"/>
      <c r="M230" s="752"/>
      <c r="N230" s="752"/>
      <c r="O230" s="752"/>
      <c r="P230" s="752"/>
    </row>
    <row r="231" spans="10:16" x14ac:dyDescent="0.25">
      <c r="J231" s="755"/>
      <c r="K231" s="756">
        <v>540</v>
      </c>
      <c r="L231" s="757" t="s">
        <v>755</v>
      </c>
      <c r="M231" s="758"/>
      <c r="N231" s="758"/>
      <c r="O231" s="758"/>
      <c r="P231" s="758"/>
    </row>
    <row r="232" spans="10:16" x14ac:dyDescent="0.25">
      <c r="J232" s="755"/>
      <c r="K232" s="756">
        <v>541</v>
      </c>
      <c r="L232" s="757" t="s">
        <v>756</v>
      </c>
      <c r="M232" s="758"/>
      <c r="N232" s="758"/>
      <c r="O232" s="758"/>
      <c r="P232" s="758"/>
    </row>
    <row r="233" spans="10:16" x14ac:dyDescent="0.25">
      <c r="J233" s="755"/>
      <c r="K233" s="756">
        <v>542</v>
      </c>
      <c r="L233" s="757" t="s">
        <v>757</v>
      </c>
      <c r="M233" s="758"/>
      <c r="N233" s="758"/>
      <c r="O233" s="758"/>
      <c r="P233" s="758"/>
    </row>
    <row r="234" spans="10:16" x14ac:dyDescent="0.25">
      <c r="J234" s="755"/>
      <c r="K234" s="756">
        <v>548</v>
      </c>
      <c r="L234" s="757" t="s">
        <v>758</v>
      </c>
      <c r="M234" s="758"/>
      <c r="N234" s="758"/>
      <c r="O234" s="758"/>
      <c r="P234" s="758"/>
    </row>
    <row r="235" spans="10:16" x14ac:dyDescent="0.25">
      <c r="J235" s="755"/>
      <c r="K235" s="756">
        <v>549</v>
      </c>
      <c r="L235" s="757" t="s">
        <v>759</v>
      </c>
      <c r="M235" s="758"/>
      <c r="N235" s="758"/>
      <c r="O235" s="758"/>
      <c r="P235" s="758"/>
    </row>
    <row r="236" spans="10:16" x14ac:dyDescent="0.25">
      <c r="J236" s="749">
        <v>57</v>
      </c>
      <c r="K236" s="750" t="s">
        <v>760</v>
      </c>
      <c r="L236" s="751"/>
      <c r="M236" s="752"/>
      <c r="N236" s="752"/>
      <c r="O236" s="752"/>
      <c r="P236" s="752"/>
    </row>
    <row r="237" spans="10:16" x14ac:dyDescent="0.25">
      <c r="J237" s="755"/>
      <c r="K237" s="756">
        <v>570</v>
      </c>
      <c r="L237" s="757" t="s">
        <v>760</v>
      </c>
      <c r="M237" s="758"/>
      <c r="N237" s="758"/>
      <c r="O237" s="758"/>
      <c r="P237" s="758"/>
    </row>
    <row r="238" spans="10:16" x14ac:dyDescent="0.25">
      <c r="J238" s="749">
        <v>58</v>
      </c>
      <c r="K238" s="750" t="s">
        <v>761</v>
      </c>
      <c r="L238" s="751"/>
      <c r="M238" s="752"/>
      <c r="N238" s="752"/>
      <c r="O238" s="752"/>
      <c r="P238" s="752"/>
    </row>
    <row r="239" spans="10:16" x14ac:dyDescent="0.25">
      <c r="J239" s="755"/>
      <c r="K239" s="756">
        <v>580</v>
      </c>
      <c r="L239" s="757" t="s">
        <v>762</v>
      </c>
      <c r="M239" s="758"/>
      <c r="N239" s="758"/>
      <c r="O239" s="758"/>
      <c r="P239" s="758"/>
    </row>
    <row r="240" spans="10:16" x14ac:dyDescent="0.25">
      <c r="J240" s="749">
        <v>59</v>
      </c>
      <c r="K240" s="750" t="s">
        <v>763</v>
      </c>
      <c r="L240" s="751"/>
      <c r="M240" s="752"/>
      <c r="N240" s="752"/>
      <c r="O240" s="752"/>
      <c r="P240" s="752"/>
    </row>
    <row r="241" spans="10:16" x14ac:dyDescent="0.25">
      <c r="J241" s="755"/>
      <c r="K241" s="756">
        <v>590</v>
      </c>
      <c r="L241" s="757" t="s">
        <v>764</v>
      </c>
      <c r="M241" s="752"/>
      <c r="N241" s="758"/>
      <c r="O241" s="758"/>
      <c r="P241" s="771"/>
    </row>
    <row r="242" spans="10:16" x14ac:dyDescent="0.25">
      <c r="J242" s="755"/>
      <c r="K242" s="756">
        <v>591</v>
      </c>
      <c r="L242" s="757" t="s">
        <v>765</v>
      </c>
      <c r="M242" s="758"/>
      <c r="N242" s="758"/>
      <c r="O242" s="758"/>
      <c r="P242" s="758"/>
    </row>
    <row r="243" spans="10:16" x14ac:dyDescent="0.25">
      <c r="J243" s="743">
        <v>5</v>
      </c>
      <c r="K243" s="761" t="s">
        <v>766</v>
      </c>
      <c r="L243" s="762"/>
      <c r="M243" s="763"/>
      <c r="N243" s="763"/>
      <c r="O243" s="763"/>
      <c r="P243" s="763"/>
    </row>
    <row r="244" spans="10:16" x14ac:dyDescent="0.25">
      <c r="J244" s="743"/>
      <c r="K244" s="761" t="s">
        <v>767</v>
      </c>
      <c r="L244" s="762"/>
      <c r="M244" s="763"/>
      <c r="N244" s="763"/>
      <c r="O244" s="763"/>
      <c r="P244" s="763"/>
    </row>
  </sheetData>
  <conditionalFormatting sqref="E6:F8 E10:E12 E15:E18 E21:E23 E26:E34 E36:E41 E43:E44 E47 E50:E52 E54">
    <cfRule type="cellIs" dxfId="27" priority="32" operator="lessThan">
      <formula>0</formula>
    </cfRule>
  </conditionalFormatting>
  <conditionalFormatting sqref="F10:F12 F47 F15:F18 F21:F23 F26:F34 F36:F41 F43:F44 F50:F52 F54">
    <cfRule type="cellIs" dxfId="26" priority="31" operator="lessThan">
      <formula>0</formula>
    </cfRule>
  </conditionalFormatting>
  <conditionalFormatting sqref="F10:F12 F47 F15:F18 F21:F23 F26:F34 F36:F41 F43:F44 F50:F52 F54">
    <cfRule type="cellIs" dxfId="25" priority="30" operator="lessThan">
      <formula>0</formula>
    </cfRule>
  </conditionalFormatting>
  <conditionalFormatting sqref="F10:F12 F47 F15:F18 F21:F23 F26:F34 F36:F41 F43:F44 F50:F52 F54">
    <cfRule type="cellIs" dxfId="24" priority="29" operator="lessThan">
      <formula>0</formula>
    </cfRule>
  </conditionalFormatting>
  <conditionalFormatting sqref="F10:F12 F47 F15:F18 F21:F23 F26:F34 F36:F41 F43:F44 F50:F52 F54">
    <cfRule type="cellIs" dxfId="23" priority="28" operator="lessThan">
      <formula>0</formula>
    </cfRule>
  </conditionalFormatting>
  <conditionalFormatting sqref="G6:G8 G10:G12 G15:G18 G21:G23 G26:G34 G36:G41 G43:G44 G47 G50:G52 G54">
    <cfRule type="cellIs" dxfId="22" priority="27" operator="lessThan">
      <formula>0</formula>
    </cfRule>
  </conditionalFormatting>
  <conditionalFormatting sqref="G6:G8 G10:G12 G15:G18 G21:G23 G26:G34 G36:G41 G43:G44 G47 G50:G52 G54">
    <cfRule type="cellIs" dxfId="21" priority="26" operator="lessThan">
      <formula>0</formula>
    </cfRule>
  </conditionalFormatting>
  <conditionalFormatting sqref="G6:G8 G10:G12 G15:G18 G21:G23 G26:G34 G36:G41 G43:G44 G47 G50:G52 G54">
    <cfRule type="cellIs" dxfId="20" priority="25" operator="lessThan">
      <formula>0</formula>
    </cfRule>
  </conditionalFormatting>
  <conditionalFormatting sqref="G6:G8 G10:G12 G15:G18 G21:G23 G26:G34 G36:G41 G43:G44 G47 G50:G52 G54">
    <cfRule type="cellIs" dxfId="19" priority="24" operator="lessThan">
      <formula>0</formula>
    </cfRule>
  </conditionalFormatting>
  <conditionalFormatting sqref="H6:H8 H10:H12 H15:H18 H21:H23 H26:H34 H36:H41 H43:H44 H47 H50:H52 H54">
    <cfRule type="cellIs" dxfId="18" priority="20" operator="lessThan">
      <formula>0</formula>
    </cfRule>
  </conditionalFormatting>
  <conditionalFormatting sqref="H6:H8 H10:H12 H15:H18 H21:H23 H26:H34 H36:H41 H43:H44 H47 H50:H52 H54">
    <cfRule type="cellIs" dxfId="17" priority="23" operator="lessThan">
      <formula>0</formula>
    </cfRule>
  </conditionalFormatting>
  <conditionalFormatting sqref="H6:H8 H10:H12 H15:H18 H21:H23 H26:H34 H36:H41 H43:H44 H47 H50:H52 H54">
    <cfRule type="cellIs" dxfId="16" priority="22" operator="lessThan">
      <formula>0</formula>
    </cfRule>
  </conditionalFormatting>
  <conditionalFormatting sqref="H6:H8 H10:H12 H15:H18 H21:H23 H26:H34 H36:H41 H43:H44 H47 H50:H52 H54">
    <cfRule type="cellIs" dxfId="15" priority="21" operator="lessThan">
      <formula>0</formula>
    </cfRule>
  </conditionalFormatting>
  <conditionalFormatting sqref="E55:H55">
    <cfRule type="cellIs" dxfId="14" priority="15" operator="lessThan">
      <formula>0</formula>
    </cfRule>
  </conditionalFormatting>
  <conditionalFormatting sqref="E53:H53">
    <cfRule type="cellIs" dxfId="13" priority="14" operator="lessThan">
      <formula>0</formula>
    </cfRule>
  </conditionalFormatting>
  <conditionalFormatting sqref="E49:H49">
    <cfRule type="cellIs" dxfId="12" priority="13" operator="lessThan">
      <formula>0</formula>
    </cfRule>
  </conditionalFormatting>
  <conditionalFormatting sqref="E45:H45">
    <cfRule type="cellIs" dxfId="11" priority="12" operator="lessThan">
      <formula>0</formula>
    </cfRule>
  </conditionalFormatting>
  <conditionalFormatting sqref="E46:H46">
    <cfRule type="cellIs" dxfId="10" priority="11" operator="lessThan">
      <formula>0</formula>
    </cfRule>
  </conditionalFormatting>
  <conditionalFormatting sqref="E42:H42">
    <cfRule type="cellIs" dxfId="9" priority="10" operator="lessThan">
      <formula>0</formula>
    </cfRule>
  </conditionalFormatting>
  <conditionalFormatting sqref="E35:H35">
    <cfRule type="cellIs" dxfId="8" priority="9" operator="lessThan">
      <formula>0</formula>
    </cfRule>
  </conditionalFormatting>
  <conditionalFormatting sqref="E24:H24">
    <cfRule type="cellIs" dxfId="7" priority="8" operator="lessThan">
      <formula>0</formula>
    </cfRule>
  </conditionalFormatting>
  <conditionalFormatting sqref="E25:H25">
    <cfRule type="cellIs" dxfId="6" priority="7" operator="lessThan">
      <formula>0</formula>
    </cfRule>
  </conditionalFormatting>
  <conditionalFormatting sqref="E19:H19">
    <cfRule type="cellIs" dxfId="5" priority="6" operator="lessThan">
      <formula>0</formula>
    </cfRule>
  </conditionalFormatting>
  <conditionalFormatting sqref="E20:H20">
    <cfRule type="cellIs" dxfId="4" priority="5" operator="lessThan">
      <formula>0</formula>
    </cfRule>
  </conditionalFormatting>
  <conditionalFormatting sqref="E13:H13">
    <cfRule type="cellIs" dxfId="3" priority="4" operator="lessThan">
      <formula>0</formula>
    </cfRule>
  </conditionalFormatting>
  <conditionalFormatting sqref="E14:H14">
    <cfRule type="cellIs" dxfId="2" priority="3" operator="lessThan">
      <formula>0</formula>
    </cfRule>
  </conditionalFormatting>
  <conditionalFormatting sqref="E9:H9">
    <cfRule type="cellIs" dxfId="1" priority="2" operator="lessThan">
      <formula>0</formula>
    </cfRule>
  </conditionalFormatting>
  <conditionalFormatting sqref="E5:H5">
    <cfRule type="cellIs" dxfId="0" priority="1" operator="lessThan">
      <formula>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6">
    <tabColor theme="1"/>
  </sheetPr>
  <dimension ref="B2:AD1048527"/>
  <sheetViews>
    <sheetView zoomScale="89" zoomScaleNormal="89" workbookViewId="0">
      <pane xSplit="2" ySplit="3" topLeftCell="C4" activePane="bottomRight" state="frozen"/>
      <selection activeCell="B19" sqref="B19:K20"/>
      <selection pane="topRight" activeCell="B19" sqref="B19:K20"/>
      <selection pane="bottomLeft" activeCell="B19" sqref="B19:K20"/>
      <selection pane="bottomRight" activeCell="C6" sqref="C6:G6"/>
    </sheetView>
  </sheetViews>
  <sheetFormatPr defaultColWidth="9.140625" defaultRowHeight="13.5" outlineLevelCol="1" x14ac:dyDescent="0.25"/>
  <cols>
    <col min="1" max="1" width="3" style="1" customWidth="1"/>
    <col min="2" max="2" width="40.7109375" style="1" customWidth="1"/>
    <col min="3" max="10" width="8.85546875" style="2" bestFit="1" customWidth="1"/>
    <col min="11" max="11" width="6.5703125" style="1" customWidth="1"/>
    <col min="12" max="18" width="8.85546875" style="1" customWidth="1" outlineLevel="1"/>
    <col min="19" max="20" width="9.140625" style="1"/>
    <col min="21" max="21" width="9.140625" style="1" customWidth="1"/>
    <col min="22" max="22" width="36.42578125" style="1" hidden="1" customWidth="1"/>
    <col min="23" max="16384" width="9.140625" style="1"/>
  </cols>
  <sheetData>
    <row r="2" spans="2:30" ht="22.15" customHeight="1" x14ac:dyDescent="0.45">
      <c r="B2" s="2060" t="s">
        <v>940</v>
      </c>
      <c r="C2" s="2059" t="s">
        <v>942</v>
      </c>
      <c r="D2" s="2059"/>
      <c r="E2" s="2059"/>
      <c r="F2" s="2059"/>
      <c r="G2" s="2059"/>
      <c r="H2" s="2059"/>
      <c r="I2" s="2059"/>
      <c r="J2" s="2059"/>
      <c r="L2" s="2059" t="s">
        <v>942</v>
      </c>
      <c r="M2" s="2059"/>
      <c r="N2" s="2059"/>
      <c r="O2" s="2059"/>
      <c r="P2" s="2059"/>
      <c r="Q2" s="2059"/>
      <c r="R2" s="2059"/>
    </row>
    <row r="3" spans="2:30" s="3" customFormat="1" ht="16.5" thickBot="1" x14ac:dyDescent="0.3">
      <c r="B3" s="2061"/>
      <c r="C3" s="1184" t="str">
        <f>UFRS!C3</f>
        <v>2008/12</v>
      </c>
      <c r="D3" s="1184" t="str">
        <f>UFRS!D3</f>
        <v>2009/12</v>
      </c>
      <c r="E3" s="1184" t="str">
        <f>UFRS!E3</f>
        <v>2010/12</v>
      </c>
      <c r="F3" s="1184" t="str">
        <f>UFRS!F3</f>
        <v>2011/12</v>
      </c>
      <c r="G3" s="1184" t="str">
        <f>UFRS!G3</f>
        <v>2012/12</v>
      </c>
      <c r="H3" s="1184" t="str">
        <f>UFRS!H3</f>
        <v>2013/12</v>
      </c>
      <c r="I3" s="1184" t="str">
        <f>UFRS!I3</f>
        <v>2014/12</v>
      </c>
      <c r="J3" s="1184" t="str">
        <f>UFRS!J3</f>
        <v>2015/12</v>
      </c>
      <c r="K3" s="1"/>
      <c r="L3" s="1184" t="str">
        <f>+D3</f>
        <v>2009/12</v>
      </c>
      <c r="M3" s="1184" t="str">
        <f t="shared" ref="M3:R3" si="0">+E3</f>
        <v>2010/12</v>
      </c>
      <c r="N3" s="1184" t="str">
        <f t="shared" si="0"/>
        <v>2011/12</v>
      </c>
      <c r="O3" s="1184" t="str">
        <f t="shared" si="0"/>
        <v>2012/12</v>
      </c>
      <c r="P3" s="1184" t="str">
        <f t="shared" si="0"/>
        <v>2013/12</v>
      </c>
      <c r="Q3" s="1184" t="str">
        <f t="shared" si="0"/>
        <v>2014/12</v>
      </c>
      <c r="R3" s="1184" t="str">
        <f t="shared" si="0"/>
        <v>2015/12</v>
      </c>
      <c r="S3" s="1"/>
      <c r="T3" s="1"/>
      <c r="U3" s="1"/>
      <c r="V3" s="100" t="s">
        <v>183</v>
      </c>
      <c r="W3" s="1"/>
      <c r="X3" s="1"/>
      <c r="Y3" s="1"/>
      <c r="Z3" s="1"/>
      <c r="AA3" s="1"/>
      <c r="AB3" s="1"/>
    </row>
    <row r="4" spans="2:30" s="103" customFormat="1" ht="15" x14ac:dyDescent="0.25">
      <c r="B4" s="1185" t="s">
        <v>39</v>
      </c>
      <c r="C4" s="1186">
        <f>UFRS!C5/1000000</f>
        <v>4493.6549999999997</v>
      </c>
      <c r="D4" s="1186">
        <f>UFRS!D5/1000000</f>
        <v>4157.9549999999999</v>
      </c>
      <c r="E4" s="1186">
        <f>UFRS!E5/1000000</f>
        <v>4748.4390000000003</v>
      </c>
      <c r="F4" s="1186">
        <f>UFRS!F5/1000000</f>
        <v>6033.8490000000002</v>
      </c>
      <c r="G4" s="1186">
        <f>UFRS!G5/1000000</f>
        <v>6736.6779999999999</v>
      </c>
      <c r="H4" s="1186">
        <f>UFRS!H5/1000000</f>
        <v>7659.1180000000004</v>
      </c>
      <c r="I4" s="1186">
        <f>UFRS!I5/1000000</f>
        <v>8471.7569999999996</v>
      </c>
      <c r="J4" s="1186">
        <f>UFRS!J5/1000000</f>
        <v>9406.2520000000004</v>
      </c>
      <c r="K4" s="4"/>
      <c r="L4" s="1186">
        <f>+SUM(L5:L12)</f>
        <v>335.69999999999982</v>
      </c>
      <c r="M4" s="1186">
        <f t="shared" ref="M4:R4" si="1">+SUM(M5:M12)</f>
        <v>-590.48400000000026</v>
      </c>
      <c r="N4" s="1186">
        <f t="shared" si="1"/>
        <v>-1285.4099999999994</v>
      </c>
      <c r="O4" s="1186">
        <f t="shared" si="1"/>
        <v>-702.82900000000086</v>
      </c>
      <c r="P4" s="1186">
        <f t="shared" si="1"/>
        <v>-922.44000000000051</v>
      </c>
      <c r="Q4" s="1186">
        <f t="shared" si="1"/>
        <v>-812.63899999999808</v>
      </c>
      <c r="R4" s="1186">
        <f t="shared" si="1"/>
        <v>-934.49500000000171</v>
      </c>
      <c r="S4" s="4"/>
      <c r="T4" s="4"/>
      <c r="U4" s="4"/>
      <c r="V4" s="7" t="s">
        <v>381</v>
      </c>
      <c r="W4" s="4"/>
      <c r="X4" s="4"/>
      <c r="Y4" s="4"/>
      <c r="Z4" s="4"/>
      <c r="AA4" s="4"/>
      <c r="AB4" s="4"/>
    </row>
    <row r="5" spans="2:30" s="4" customFormat="1" ht="15" x14ac:dyDescent="0.25">
      <c r="B5" s="4" t="s">
        <v>1001</v>
      </c>
      <c r="C5" s="98">
        <f>SUM(UFRS!C6)/1000000</f>
        <v>415.58600000000001</v>
      </c>
      <c r="D5" s="98">
        <f>SUM(UFRS!D6)/1000000</f>
        <v>904.73400000000004</v>
      </c>
      <c r="E5" s="98">
        <f>SUM(UFRS!E6)/1000000</f>
        <v>1317.1659999999999</v>
      </c>
      <c r="F5" s="98">
        <f>SUM(UFRS!F6)/1000000</f>
        <v>1173.8889999999999</v>
      </c>
      <c r="G5" s="98">
        <f>SUM(UFRS!G6)/1000000</f>
        <v>1740.789</v>
      </c>
      <c r="H5" s="98">
        <f>SUM(UFRS!H6)/1000000</f>
        <v>1266.575</v>
      </c>
      <c r="I5" s="98">
        <f>SUM(UFRS!I6)/1000000</f>
        <v>1621.221</v>
      </c>
      <c r="J5" s="98">
        <f>SUM(UFRS!J6)/1000000</f>
        <v>2167.627</v>
      </c>
      <c r="L5" s="1208">
        <f>+C5-D5</f>
        <v>-489.14800000000002</v>
      </c>
      <c r="M5" s="1209">
        <f t="shared" ref="M5:R5" si="2">+D5-E5</f>
        <v>-412.4319999999999</v>
      </c>
      <c r="N5" s="1209">
        <f t="shared" si="2"/>
        <v>143.27700000000004</v>
      </c>
      <c r="O5" s="1209">
        <f t="shared" si="2"/>
        <v>-566.90000000000009</v>
      </c>
      <c r="P5" s="1209">
        <f t="shared" si="2"/>
        <v>474.21399999999994</v>
      </c>
      <c r="Q5" s="1209">
        <f t="shared" si="2"/>
        <v>-354.64599999999996</v>
      </c>
      <c r="R5" s="1210">
        <f t="shared" si="2"/>
        <v>-546.40599999999995</v>
      </c>
      <c r="V5" s="4" t="s">
        <v>184</v>
      </c>
    </row>
    <row r="6" spans="2:30" s="4" customFormat="1" ht="15" x14ac:dyDescent="0.25">
      <c r="B6" s="4" t="s">
        <v>41</v>
      </c>
      <c r="C6" s="98">
        <f>+SUM(UFRS!C7:C10)/1000000</f>
        <v>26.039000000000001</v>
      </c>
      <c r="D6" s="98">
        <f>+SUM(UFRS!D7:D10)/1000000</f>
        <v>4.444</v>
      </c>
      <c r="E6" s="98">
        <f>+SUM(UFRS!E7:E10)/1000000</f>
        <v>1.1850000000000001</v>
      </c>
      <c r="F6" s="98">
        <f>+SUM(UFRS!F7:F10)/1000000</f>
        <v>2.9319999999999999</v>
      </c>
      <c r="G6" s="98">
        <f>+SUM(UFRS!G7:G10)/1000000</f>
        <v>0</v>
      </c>
      <c r="H6" s="98">
        <f>+SUM(UFRS!H7:H10)/1000000</f>
        <v>0</v>
      </c>
      <c r="I6" s="98">
        <f>+SUM(UFRS!I7:I10)/1000000</f>
        <v>0</v>
      </c>
      <c r="J6" s="98">
        <f>+SUM(UFRS!J7:J10)/1000000</f>
        <v>0</v>
      </c>
      <c r="L6" s="1218">
        <f t="shared" ref="L6:L49" si="3">+C6-D6</f>
        <v>21.595000000000002</v>
      </c>
      <c r="M6" s="862">
        <f t="shared" ref="M6:M49" si="4">+D6-E6</f>
        <v>3.2589999999999999</v>
      </c>
      <c r="N6" s="862">
        <f t="shared" ref="N6:N49" si="5">+E6-F6</f>
        <v>-1.7469999999999999</v>
      </c>
      <c r="O6" s="862">
        <f t="shared" ref="O6:O49" si="6">+F6-G6</f>
        <v>2.9319999999999999</v>
      </c>
      <c r="P6" s="862">
        <f t="shared" ref="P6:P49" si="7">+G6-H6</f>
        <v>0</v>
      </c>
      <c r="Q6" s="862">
        <f t="shared" ref="Q6:Q49" si="8">+H6-I6</f>
        <v>0</v>
      </c>
      <c r="R6" s="1219">
        <f t="shared" ref="R6:R49" si="9">+I6-J6</f>
        <v>0</v>
      </c>
      <c r="V6" s="4" t="s">
        <v>536</v>
      </c>
    </row>
    <row r="7" spans="2:30" s="4" customFormat="1" ht="15" x14ac:dyDescent="0.25">
      <c r="B7" s="4" t="s">
        <v>44</v>
      </c>
      <c r="C7" s="98">
        <f>SUM(UFRS!C11:C15)/1000000</f>
        <v>2644.9270000000001</v>
      </c>
      <c r="D7" s="98">
        <f>SUM(UFRS!D11:D15)/1000000</f>
        <v>2233.011</v>
      </c>
      <c r="E7" s="98">
        <f>SUM(UFRS!E11:E15)/1000000</f>
        <v>2324.578</v>
      </c>
      <c r="F7" s="98">
        <f>SUM(UFRS!F11:F15)/1000000</f>
        <v>3180.87</v>
      </c>
      <c r="G7" s="98">
        <f>SUM(UFRS!G11:G15)/1000000</f>
        <v>3261.4769999999999</v>
      </c>
      <c r="H7" s="98">
        <f>SUM(UFRS!H11:H15)/1000000</f>
        <v>4182.1400000000003</v>
      </c>
      <c r="I7" s="98">
        <f>SUM(UFRS!I11:I15)/1000000</f>
        <v>4433.8980000000001</v>
      </c>
      <c r="J7" s="98">
        <f>SUM(UFRS!J11:J15)/1000000</f>
        <v>4790.5249999999996</v>
      </c>
      <c r="L7" s="1218">
        <f t="shared" si="3"/>
        <v>411.91600000000017</v>
      </c>
      <c r="M7" s="862">
        <f t="shared" si="4"/>
        <v>-91.567000000000007</v>
      </c>
      <c r="N7" s="862">
        <f t="shared" si="5"/>
        <v>-856.29199999999992</v>
      </c>
      <c r="O7" s="862">
        <f t="shared" si="6"/>
        <v>-80.606999999999971</v>
      </c>
      <c r="P7" s="862">
        <f t="shared" si="7"/>
        <v>-920.66300000000047</v>
      </c>
      <c r="Q7" s="862">
        <f t="shared" si="8"/>
        <v>-251.75799999999981</v>
      </c>
      <c r="R7" s="1219">
        <f t="shared" si="9"/>
        <v>-356.6269999999995</v>
      </c>
      <c r="V7" s="4" t="s">
        <v>185</v>
      </c>
    </row>
    <row r="8" spans="2:30" s="4" customFormat="1" ht="15" x14ac:dyDescent="0.25">
      <c r="B8" s="4" t="s">
        <v>93</v>
      </c>
      <c r="C8" s="98">
        <f>+UFRS!C16/1000000</f>
        <v>0</v>
      </c>
      <c r="D8" s="98">
        <f>+UFRS!D16/1000000</f>
        <v>0</v>
      </c>
      <c r="E8" s="98">
        <f>+UFRS!E16/1000000</f>
        <v>0</v>
      </c>
      <c r="F8" s="98">
        <f>+UFRS!F16/1000000</f>
        <v>0</v>
      </c>
      <c r="G8" s="98">
        <f>+UFRS!G16/1000000</f>
        <v>0</v>
      </c>
      <c r="H8" s="98">
        <f>+UFRS!H16/1000000</f>
        <v>0</v>
      </c>
      <c r="I8" s="98">
        <f>+UFRS!I16/1000000</f>
        <v>0</v>
      </c>
      <c r="J8" s="98">
        <f>+UFRS!J16/1000000</f>
        <v>0</v>
      </c>
      <c r="L8" s="1218">
        <f t="shared" si="3"/>
        <v>0</v>
      </c>
      <c r="M8" s="862">
        <f t="shared" si="4"/>
        <v>0</v>
      </c>
      <c r="N8" s="862">
        <f t="shared" si="5"/>
        <v>0</v>
      </c>
      <c r="O8" s="862">
        <f t="shared" si="6"/>
        <v>0</v>
      </c>
      <c r="P8" s="862">
        <f t="shared" si="7"/>
        <v>0</v>
      </c>
      <c r="Q8" s="862">
        <f t="shared" si="8"/>
        <v>0</v>
      </c>
      <c r="R8" s="1219">
        <f t="shared" si="9"/>
        <v>0</v>
      </c>
      <c r="V8" s="4" t="s">
        <v>537</v>
      </c>
    </row>
    <row r="9" spans="2:30" s="4" customFormat="1" ht="15" x14ac:dyDescent="0.25">
      <c r="B9" s="4" t="s">
        <v>4</v>
      </c>
      <c r="C9" s="98">
        <f>SUM(UFRS!C17,UFRS!C19)/1000000</f>
        <v>1303.931</v>
      </c>
      <c r="D9" s="98">
        <f>SUM(UFRS!D17,UFRS!D19)/1000000</f>
        <v>906.78599999999994</v>
      </c>
      <c r="E9" s="98">
        <f>SUM(UFRS!E17,UFRS!E19)/1000000</f>
        <v>987.52599999999995</v>
      </c>
      <c r="F9" s="98">
        <f>SUM(UFRS!F17,UFRS!F19)/1000000</f>
        <v>1530.1410000000001</v>
      </c>
      <c r="G9" s="98">
        <f>SUM(UFRS!G17,UFRS!G19)/1000000</f>
        <v>1599.6579999999999</v>
      </c>
      <c r="H9" s="98">
        <f>SUM(UFRS!H17,UFRS!H19)/1000000</f>
        <v>1988.373</v>
      </c>
      <c r="I9" s="98">
        <f>SUM(UFRS!I17,UFRS!I19)/1000000</f>
        <v>2124.9459999999999</v>
      </c>
      <c r="J9" s="98">
        <f>SUM(UFRS!J17,UFRS!J19)/1000000</f>
        <v>2140.0569999999998</v>
      </c>
      <c r="L9" s="1218">
        <f t="shared" si="3"/>
        <v>397.1450000000001</v>
      </c>
      <c r="M9" s="862">
        <f t="shared" si="4"/>
        <v>-80.740000000000009</v>
      </c>
      <c r="N9" s="862">
        <f t="shared" si="5"/>
        <v>-542.61500000000012</v>
      </c>
      <c r="O9" s="862">
        <f t="shared" si="6"/>
        <v>-69.516999999999825</v>
      </c>
      <c r="P9" s="862">
        <f t="shared" si="7"/>
        <v>-388.71500000000015</v>
      </c>
      <c r="Q9" s="862">
        <f t="shared" si="8"/>
        <v>-136.57299999999987</v>
      </c>
      <c r="R9" s="1219">
        <f t="shared" si="9"/>
        <v>-15.110999999999876</v>
      </c>
      <c r="V9" s="4" t="s">
        <v>186</v>
      </c>
    </row>
    <row r="10" spans="2:30" s="4" customFormat="1" ht="15" x14ac:dyDescent="0.25">
      <c r="B10" s="4" t="s">
        <v>871</v>
      </c>
      <c r="C10" s="98">
        <f>+UFRS!C20/1000000</f>
        <v>0</v>
      </c>
      <c r="D10" s="98">
        <f>+UFRS!D20/1000000</f>
        <v>0</v>
      </c>
      <c r="E10" s="98">
        <f>+UFRS!E20/1000000</f>
        <v>0</v>
      </c>
      <c r="F10" s="98">
        <f>+UFRS!F20/1000000</f>
        <v>0</v>
      </c>
      <c r="G10" s="98">
        <f>+UFRS!G20/1000000</f>
        <v>0</v>
      </c>
      <c r="H10" s="98">
        <f>+UFRS!H20/1000000</f>
        <v>0</v>
      </c>
      <c r="I10" s="98">
        <f>+UFRS!I20/1000000</f>
        <v>0</v>
      </c>
      <c r="J10" s="98">
        <f>+UFRS!J20/1000000</f>
        <v>0</v>
      </c>
      <c r="L10" s="1218">
        <f t="shared" si="3"/>
        <v>0</v>
      </c>
      <c r="M10" s="862">
        <f t="shared" si="4"/>
        <v>0</v>
      </c>
      <c r="N10" s="862">
        <f t="shared" si="5"/>
        <v>0</v>
      </c>
      <c r="O10" s="862">
        <f t="shared" si="6"/>
        <v>0</v>
      </c>
      <c r="P10" s="862">
        <f t="shared" si="7"/>
        <v>0</v>
      </c>
      <c r="Q10" s="862">
        <f t="shared" si="8"/>
        <v>0</v>
      </c>
      <c r="R10" s="1219">
        <f t="shared" si="9"/>
        <v>0</v>
      </c>
      <c r="V10" s="4" t="s">
        <v>870</v>
      </c>
    </row>
    <row r="11" spans="2:30" s="4" customFormat="1" ht="15" x14ac:dyDescent="0.25">
      <c r="B11" s="4" t="s">
        <v>780</v>
      </c>
      <c r="C11" s="98">
        <f>+UFRS!C23/1000000</f>
        <v>0</v>
      </c>
      <c r="D11" s="98">
        <f>+UFRS!D23/1000000</f>
        <v>0</v>
      </c>
      <c r="E11" s="98">
        <f>+UFRS!E23/1000000</f>
        <v>0</v>
      </c>
      <c r="F11" s="98">
        <f>+UFRS!F23/1000000</f>
        <v>0</v>
      </c>
      <c r="G11" s="98">
        <f>+UFRS!G23/1000000</f>
        <v>0</v>
      </c>
      <c r="H11" s="98">
        <f>+UFRS!H23/1000000</f>
        <v>0</v>
      </c>
      <c r="I11" s="98">
        <f>+UFRS!I23/1000000</f>
        <v>0</v>
      </c>
      <c r="J11" s="98">
        <f>+UFRS!J23/1000000</f>
        <v>0</v>
      </c>
      <c r="K11" s="98"/>
      <c r="L11" s="1211">
        <f t="shared" si="3"/>
        <v>0</v>
      </c>
      <c r="M11" s="71">
        <f t="shared" si="4"/>
        <v>0</v>
      </c>
      <c r="N11" s="71">
        <f t="shared" si="5"/>
        <v>0</v>
      </c>
      <c r="O11" s="71">
        <f t="shared" si="6"/>
        <v>0</v>
      </c>
      <c r="P11" s="71">
        <f t="shared" si="7"/>
        <v>0</v>
      </c>
      <c r="Q11" s="71">
        <f t="shared" si="8"/>
        <v>0</v>
      </c>
      <c r="R11" s="1212">
        <f t="shared" si="9"/>
        <v>0</v>
      </c>
      <c r="S11" s="98"/>
      <c r="T11" s="98"/>
      <c r="U11" s="98"/>
      <c r="V11" s="4" t="s">
        <v>915</v>
      </c>
      <c r="W11" s="98"/>
      <c r="X11" s="98"/>
      <c r="Y11" s="98"/>
      <c r="Z11" s="98"/>
      <c r="AA11" s="98"/>
      <c r="AB11" s="98"/>
    </row>
    <row r="12" spans="2:30" s="4" customFormat="1" ht="15" x14ac:dyDescent="0.25">
      <c r="B12" s="99" t="s">
        <v>94</v>
      </c>
      <c r="C12" s="71">
        <f t="shared" ref="C12:I12" si="10">C4-SUM(C5:C11)</f>
        <v>103.17199999999957</v>
      </c>
      <c r="D12" s="71">
        <f t="shared" si="10"/>
        <v>108.98000000000002</v>
      </c>
      <c r="E12" s="71">
        <f t="shared" si="10"/>
        <v>117.98400000000038</v>
      </c>
      <c r="F12" s="71">
        <f t="shared" si="10"/>
        <v>146.01699999999983</v>
      </c>
      <c r="G12" s="71">
        <f t="shared" si="10"/>
        <v>134.75400000000081</v>
      </c>
      <c r="H12" s="71">
        <f t="shared" si="10"/>
        <v>222.03000000000065</v>
      </c>
      <c r="I12" s="71">
        <f t="shared" si="10"/>
        <v>291.6919999999991</v>
      </c>
      <c r="J12" s="71">
        <f>J4-SUM(J5:J11)</f>
        <v>308.04300000000148</v>
      </c>
      <c r="L12" s="1218">
        <f t="shared" si="3"/>
        <v>-5.8080000000004475</v>
      </c>
      <c r="M12" s="862">
        <f t="shared" si="4"/>
        <v>-9.0040000000003602</v>
      </c>
      <c r="N12" s="862">
        <f t="shared" si="5"/>
        <v>-28.032999999999447</v>
      </c>
      <c r="O12" s="862">
        <f t="shared" si="6"/>
        <v>11.26299999999901</v>
      </c>
      <c r="P12" s="862">
        <f t="shared" si="7"/>
        <v>-87.27599999999984</v>
      </c>
      <c r="Q12" s="862">
        <f t="shared" si="8"/>
        <v>-69.661999999998443</v>
      </c>
      <c r="R12" s="1219">
        <f t="shared" si="9"/>
        <v>-16.351000000002387</v>
      </c>
      <c r="V12" s="106" t="s">
        <v>187</v>
      </c>
    </row>
    <row r="13" spans="2:30" s="103" customFormat="1" ht="15" x14ac:dyDescent="0.25">
      <c r="B13" s="1185" t="s">
        <v>55</v>
      </c>
      <c r="C13" s="1186">
        <f>UFRS!C32/1000000</f>
        <v>2435.5740000000001</v>
      </c>
      <c r="D13" s="1186">
        <f>UFRS!D32/1000000</f>
        <v>2268.703</v>
      </c>
      <c r="E13" s="1186">
        <f>UFRS!E32/1000000</f>
        <v>2573.3200000000002</v>
      </c>
      <c r="F13" s="1186">
        <f>UFRS!F32/1000000</f>
        <v>3163.904</v>
      </c>
      <c r="G13" s="1186">
        <f>UFRS!G32/1000000</f>
        <v>3491.4749999999999</v>
      </c>
      <c r="H13" s="1186">
        <f>UFRS!H32/1000000</f>
        <v>3751.7979999999998</v>
      </c>
      <c r="I13" s="1186">
        <f>UFRS!I32/1000000</f>
        <v>3923.248</v>
      </c>
      <c r="J13" s="1186">
        <f>UFRS!J32/1000000</f>
        <v>4332.2560000000003</v>
      </c>
      <c r="L13" s="1186">
        <f t="shared" si="3"/>
        <v>166.87100000000009</v>
      </c>
      <c r="M13" s="1186">
        <f t="shared" si="4"/>
        <v>-304.61700000000019</v>
      </c>
      <c r="N13" s="1186">
        <f t="shared" si="5"/>
        <v>-590.58399999999983</v>
      </c>
      <c r="O13" s="1186">
        <f t="shared" si="6"/>
        <v>-327.57099999999991</v>
      </c>
      <c r="P13" s="1186">
        <f t="shared" si="7"/>
        <v>-260.32299999999987</v>
      </c>
      <c r="Q13" s="1186">
        <f t="shared" si="8"/>
        <v>-171.45000000000027</v>
      </c>
      <c r="R13" s="1186">
        <f t="shared" si="9"/>
        <v>-409.00800000000027</v>
      </c>
      <c r="V13" s="7" t="s">
        <v>827</v>
      </c>
      <c r="AD13" s="4"/>
    </row>
    <row r="14" spans="2:30" s="103" customFormat="1" ht="15" x14ac:dyDescent="0.25">
      <c r="B14" s="4" t="s">
        <v>6</v>
      </c>
      <c r="C14" s="98">
        <f>+UFRS!C36/1000000</f>
        <v>9.06</v>
      </c>
      <c r="D14" s="98">
        <f>+UFRS!D36/1000000</f>
        <v>4.2539999999999996</v>
      </c>
      <c r="E14" s="98">
        <f>+UFRS!E36/1000000</f>
        <v>12.461</v>
      </c>
      <c r="F14" s="98">
        <f>+UFRS!F36/1000000</f>
        <v>16.018000000000001</v>
      </c>
      <c r="G14" s="98">
        <f>+UFRS!G36/1000000</f>
        <v>10.968999999999999</v>
      </c>
      <c r="H14" s="98">
        <f>+UFRS!H36/1000000</f>
        <v>27.456</v>
      </c>
      <c r="I14" s="98">
        <f>+UFRS!I36/1000000</f>
        <v>24.422999999999998</v>
      </c>
      <c r="J14" s="98">
        <f>+UFRS!J36/1000000</f>
        <v>13.205</v>
      </c>
      <c r="L14" s="1220">
        <f t="shared" si="3"/>
        <v>4.8060000000000009</v>
      </c>
      <c r="M14" s="1221">
        <f t="shared" si="4"/>
        <v>-8.2070000000000007</v>
      </c>
      <c r="N14" s="1221">
        <f t="shared" si="5"/>
        <v>-3.5570000000000004</v>
      </c>
      <c r="O14" s="1221">
        <f t="shared" si="6"/>
        <v>5.0490000000000013</v>
      </c>
      <c r="P14" s="1221">
        <f t="shared" si="7"/>
        <v>-16.487000000000002</v>
      </c>
      <c r="Q14" s="1221">
        <f t="shared" si="8"/>
        <v>3.0330000000000013</v>
      </c>
      <c r="R14" s="1222">
        <f t="shared" si="9"/>
        <v>11.217999999999998</v>
      </c>
      <c r="V14" s="4" t="s">
        <v>538</v>
      </c>
      <c r="AD14" s="4"/>
    </row>
    <row r="15" spans="2:30" s="103" customFormat="1" ht="15" x14ac:dyDescent="0.25">
      <c r="B15" s="4" t="s">
        <v>95</v>
      </c>
      <c r="C15" s="98">
        <f>+UFRS!C41/1000000</f>
        <v>0</v>
      </c>
      <c r="D15" s="98">
        <f>+UFRS!D41/1000000</f>
        <v>0</v>
      </c>
      <c r="E15" s="98">
        <f>+UFRS!E41/1000000</f>
        <v>0</v>
      </c>
      <c r="F15" s="98">
        <f>+UFRS!F41/1000000</f>
        <v>0</v>
      </c>
      <c r="G15" s="98">
        <f>+UFRS!G41/1000000</f>
        <v>0</v>
      </c>
      <c r="H15" s="98">
        <f>+UFRS!H41/1000000</f>
        <v>0</v>
      </c>
      <c r="I15" s="98">
        <f>+UFRS!I41/1000000</f>
        <v>0</v>
      </c>
      <c r="J15" s="98">
        <f>+UFRS!J41/1000000</f>
        <v>0</v>
      </c>
      <c r="L15" s="1220">
        <f t="shared" si="3"/>
        <v>0</v>
      </c>
      <c r="M15" s="1221">
        <f t="shared" si="4"/>
        <v>0</v>
      </c>
      <c r="N15" s="1221">
        <f t="shared" si="5"/>
        <v>0</v>
      </c>
      <c r="O15" s="1221">
        <f t="shared" si="6"/>
        <v>0</v>
      </c>
      <c r="P15" s="1221">
        <f t="shared" si="7"/>
        <v>0</v>
      </c>
      <c r="Q15" s="1221">
        <f t="shared" si="8"/>
        <v>0</v>
      </c>
      <c r="R15" s="1222">
        <f t="shared" si="9"/>
        <v>0</v>
      </c>
      <c r="V15" s="4" t="s">
        <v>539</v>
      </c>
      <c r="AD15" s="4"/>
    </row>
    <row r="16" spans="2:30" s="4" customFormat="1" ht="15" x14ac:dyDescent="0.25">
      <c r="B16" s="4" t="s">
        <v>56</v>
      </c>
      <c r="C16" s="107">
        <f>SUM(UFRS!C42:C43,UFRS!C46,UFRS!C48,UFRS!C49)/1000000</f>
        <v>675.83299999999997</v>
      </c>
      <c r="D16" s="107">
        <f>SUM(UFRS!D42:D43,UFRS!D46,UFRS!D48,UFRS!D49)/1000000</f>
        <v>531.327</v>
      </c>
      <c r="E16" s="107">
        <f>SUM(UFRS!E42:E43,UFRS!E46,UFRS!E48,UFRS!E49)/1000000</f>
        <v>800.76300000000003</v>
      </c>
      <c r="F16" s="107">
        <f>SUM(UFRS!F42:F43,UFRS!F46,UFRS!F48,UFRS!F49)/1000000</f>
        <v>658.39700000000005</v>
      </c>
      <c r="G16" s="107">
        <f>SUM(UFRS!G42:G43,UFRS!G46,UFRS!G48,UFRS!G49)/1000000</f>
        <v>826.45399999999995</v>
      </c>
      <c r="H16" s="107">
        <f>SUM(UFRS!H42:H43,UFRS!H46,UFRS!H48,UFRS!H49)/1000000</f>
        <v>737.92</v>
      </c>
      <c r="I16" s="107">
        <f>SUM(UFRS!I42:I43,UFRS!I46,UFRS!I48,UFRS!I49)/1000000</f>
        <v>899.72799999999995</v>
      </c>
      <c r="J16" s="107">
        <f>SUM(UFRS!J42:J43,UFRS!J46,UFRS!J48,UFRS!J49)/1000000</f>
        <v>749.05700000000002</v>
      </c>
      <c r="L16" s="1218">
        <f t="shared" si="3"/>
        <v>144.50599999999997</v>
      </c>
      <c r="M16" s="862">
        <f t="shared" si="4"/>
        <v>-269.43600000000004</v>
      </c>
      <c r="N16" s="862">
        <f t="shared" si="5"/>
        <v>142.36599999999999</v>
      </c>
      <c r="O16" s="862">
        <f t="shared" si="6"/>
        <v>-168.0569999999999</v>
      </c>
      <c r="P16" s="862">
        <f t="shared" si="7"/>
        <v>88.533999999999992</v>
      </c>
      <c r="Q16" s="862">
        <f t="shared" si="8"/>
        <v>-161.80799999999999</v>
      </c>
      <c r="R16" s="1219">
        <f t="shared" si="9"/>
        <v>150.67099999999994</v>
      </c>
      <c r="V16" s="4" t="s">
        <v>188</v>
      </c>
    </row>
    <row r="17" spans="2:30" s="4" customFormat="1" ht="15" x14ac:dyDescent="0.25">
      <c r="B17" s="4" t="s">
        <v>769</v>
      </c>
      <c r="C17" s="107">
        <f>UFRS!C47/1000000</f>
        <v>10.255000000000001</v>
      </c>
      <c r="D17" s="107">
        <f>UFRS!D47/1000000</f>
        <v>7.5110000000000001</v>
      </c>
      <c r="E17" s="107">
        <f>UFRS!E47/1000000</f>
        <v>7.19</v>
      </c>
      <c r="F17" s="107">
        <f>UFRS!F47/1000000</f>
        <v>196.167</v>
      </c>
      <c r="G17" s="107">
        <f>UFRS!G47/1000000</f>
        <v>177.08</v>
      </c>
      <c r="H17" s="107">
        <f>UFRS!H47/1000000</f>
        <v>0</v>
      </c>
      <c r="I17" s="107">
        <f>UFRS!I47/1000000</f>
        <v>0</v>
      </c>
      <c r="J17" s="107">
        <f>UFRS!J47/1000000</f>
        <v>0</v>
      </c>
      <c r="L17" s="1218">
        <f t="shared" si="3"/>
        <v>2.7440000000000007</v>
      </c>
      <c r="M17" s="862">
        <f t="shared" si="4"/>
        <v>0.32099999999999973</v>
      </c>
      <c r="N17" s="862">
        <f t="shared" si="5"/>
        <v>-188.977</v>
      </c>
      <c r="O17" s="862">
        <f t="shared" si="6"/>
        <v>19.086999999999989</v>
      </c>
      <c r="P17" s="862">
        <f t="shared" si="7"/>
        <v>177.08</v>
      </c>
      <c r="Q17" s="862">
        <f t="shared" si="8"/>
        <v>0</v>
      </c>
      <c r="R17" s="1219">
        <f t="shared" si="9"/>
        <v>0</v>
      </c>
      <c r="V17" s="4" t="s">
        <v>189</v>
      </c>
    </row>
    <row r="18" spans="2:30" s="4" customFormat="1" ht="15" x14ac:dyDescent="0.25">
      <c r="B18" s="4" t="s">
        <v>59</v>
      </c>
      <c r="C18" s="98">
        <f>(UFRS!C50)/1000000</f>
        <v>1272.3330000000001</v>
      </c>
      <c r="D18" s="98">
        <f>(UFRS!D50)/1000000</f>
        <v>1244.1089999999999</v>
      </c>
      <c r="E18" s="98">
        <f>(UFRS!E50)/1000000</f>
        <v>1252.2449999999999</v>
      </c>
      <c r="F18" s="98">
        <f>(UFRS!F50)/1000000</f>
        <v>1446.8409999999999</v>
      </c>
      <c r="G18" s="98">
        <f>(UFRS!G50)/1000000</f>
        <v>1603.403</v>
      </c>
      <c r="H18" s="98">
        <f>(UFRS!H50)/1000000</f>
        <v>1836.789</v>
      </c>
      <c r="I18" s="98">
        <f>(UFRS!I50)/1000000</f>
        <v>1812.7460000000001</v>
      </c>
      <c r="J18" s="98">
        <f>(UFRS!J50)/1000000</f>
        <v>2055.6750000000002</v>
      </c>
      <c r="L18" s="1218">
        <f t="shared" si="3"/>
        <v>28.22400000000016</v>
      </c>
      <c r="M18" s="862">
        <f t="shared" si="4"/>
        <v>-8.1359999999999673</v>
      </c>
      <c r="N18" s="862">
        <f t="shared" si="5"/>
        <v>-194.596</v>
      </c>
      <c r="O18" s="862">
        <f t="shared" si="6"/>
        <v>-156.56200000000013</v>
      </c>
      <c r="P18" s="862">
        <f t="shared" si="7"/>
        <v>-233.38599999999997</v>
      </c>
      <c r="Q18" s="862">
        <f t="shared" si="8"/>
        <v>24.042999999999893</v>
      </c>
      <c r="R18" s="1219">
        <f t="shared" si="9"/>
        <v>-242.92900000000009</v>
      </c>
      <c r="V18" s="4" t="s">
        <v>219</v>
      </c>
    </row>
    <row r="19" spans="2:30" s="4" customFormat="1" ht="15" x14ac:dyDescent="0.25">
      <c r="B19" s="4" t="s">
        <v>60</v>
      </c>
      <c r="C19" s="98">
        <f>(UFRS!C51)/1000000</f>
        <v>402.21499999999997</v>
      </c>
      <c r="D19" s="98">
        <f>(UFRS!D51)/1000000</f>
        <v>439.99299999999999</v>
      </c>
      <c r="E19" s="98">
        <f>(UFRS!E51)/1000000</f>
        <v>461.41699999999997</v>
      </c>
      <c r="F19" s="98">
        <f>(UFRS!F51)/1000000</f>
        <v>783.09400000000005</v>
      </c>
      <c r="G19" s="98">
        <f>(UFRS!G51)/1000000</f>
        <v>787.601</v>
      </c>
      <c r="H19" s="98">
        <f>(UFRS!H51)/1000000</f>
        <v>1058.9739999999999</v>
      </c>
      <c r="I19" s="98">
        <f>(UFRS!I51)/1000000</f>
        <v>1091.1949999999999</v>
      </c>
      <c r="J19" s="98">
        <f>(UFRS!J51)/1000000</f>
        <v>1170.93</v>
      </c>
      <c r="L19" s="1218">
        <f t="shared" si="3"/>
        <v>-37.77800000000002</v>
      </c>
      <c r="M19" s="862">
        <f t="shared" si="4"/>
        <v>-21.423999999999978</v>
      </c>
      <c r="N19" s="862">
        <f t="shared" si="5"/>
        <v>-321.67700000000008</v>
      </c>
      <c r="O19" s="862">
        <f t="shared" si="6"/>
        <v>-4.5069999999999482</v>
      </c>
      <c r="P19" s="862">
        <f t="shared" si="7"/>
        <v>-271.37299999999993</v>
      </c>
      <c r="Q19" s="862">
        <f t="shared" si="8"/>
        <v>-32.221000000000004</v>
      </c>
      <c r="R19" s="1219">
        <f t="shared" si="9"/>
        <v>-79.735000000000127</v>
      </c>
      <c r="V19" s="4" t="s">
        <v>220</v>
      </c>
    </row>
    <row r="20" spans="2:30" s="4" customFormat="1" ht="15" x14ac:dyDescent="0.25">
      <c r="B20" s="4" t="s">
        <v>871</v>
      </c>
      <c r="C20" s="98">
        <f>+UFRS!C54/1000000</f>
        <v>0</v>
      </c>
      <c r="D20" s="98">
        <f>+UFRS!D54/1000000</f>
        <v>0</v>
      </c>
      <c r="E20" s="98">
        <f>+UFRS!E54/1000000</f>
        <v>0</v>
      </c>
      <c r="F20" s="98">
        <f>+UFRS!F54/1000000</f>
        <v>0</v>
      </c>
      <c r="G20" s="98">
        <f>+UFRS!G54/1000000</f>
        <v>0</v>
      </c>
      <c r="H20" s="98">
        <f>+UFRS!H54/1000000</f>
        <v>0</v>
      </c>
      <c r="I20" s="98">
        <f>+UFRS!I54/1000000</f>
        <v>0</v>
      </c>
      <c r="J20" s="98">
        <f>+UFRS!J54/1000000</f>
        <v>0</v>
      </c>
      <c r="K20" s="98"/>
      <c r="L20" s="1211">
        <f t="shared" si="3"/>
        <v>0</v>
      </c>
      <c r="M20" s="71">
        <f t="shared" si="4"/>
        <v>0</v>
      </c>
      <c r="N20" s="71">
        <f t="shared" si="5"/>
        <v>0</v>
      </c>
      <c r="O20" s="71">
        <f t="shared" si="6"/>
        <v>0</v>
      </c>
      <c r="P20" s="71">
        <f t="shared" si="7"/>
        <v>0</v>
      </c>
      <c r="Q20" s="71">
        <f t="shared" si="8"/>
        <v>0</v>
      </c>
      <c r="R20" s="1212">
        <f t="shared" si="9"/>
        <v>0</v>
      </c>
      <c r="S20" s="98"/>
      <c r="T20" s="98"/>
      <c r="U20" s="98"/>
      <c r="V20" s="4" t="s">
        <v>870</v>
      </c>
      <c r="W20" s="98"/>
      <c r="X20" s="98"/>
      <c r="Y20" s="98"/>
      <c r="Z20" s="98"/>
      <c r="AA20" s="98"/>
      <c r="AB20" s="98"/>
    </row>
    <row r="21" spans="2:30" s="4" customFormat="1" ht="15" x14ac:dyDescent="0.25">
      <c r="B21" s="99" t="s">
        <v>780</v>
      </c>
      <c r="C21" s="71">
        <f>+UFRS!C53/1000000</f>
        <v>65.878</v>
      </c>
      <c r="D21" s="71">
        <f>+UFRS!D53/1000000</f>
        <v>41.509</v>
      </c>
      <c r="E21" s="71">
        <f>+UFRS!E53/1000000</f>
        <v>39.244</v>
      </c>
      <c r="F21" s="71">
        <f>+UFRS!F53/1000000</f>
        <v>63.387</v>
      </c>
      <c r="G21" s="71">
        <f>+UFRS!G53/1000000</f>
        <v>85.968000000000004</v>
      </c>
      <c r="H21" s="71">
        <f>+UFRS!H53/1000000</f>
        <v>90.659000000000006</v>
      </c>
      <c r="I21" s="71">
        <f>+UFRS!I53/1000000</f>
        <v>77.352999999999994</v>
      </c>
      <c r="J21" s="71">
        <f>+UFRS!J53/1000000</f>
        <v>198.64699999999999</v>
      </c>
      <c r="L21" s="1218">
        <f t="shared" si="3"/>
        <v>24.369</v>
      </c>
      <c r="M21" s="862">
        <f t="shared" si="4"/>
        <v>2.2650000000000006</v>
      </c>
      <c r="N21" s="862">
        <f t="shared" si="5"/>
        <v>-24.143000000000001</v>
      </c>
      <c r="O21" s="862">
        <f t="shared" si="6"/>
        <v>-22.581000000000003</v>
      </c>
      <c r="P21" s="862">
        <f t="shared" si="7"/>
        <v>-4.6910000000000025</v>
      </c>
      <c r="Q21" s="862">
        <f t="shared" si="8"/>
        <v>13.306000000000012</v>
      </c>
      <c r="R21" s="1219">
        <f t="shared" si="9"/>
        <v>-121.294</v>
      </c>
      <c r="V21" s="4" t="s">
        <v>832</v>
      </c>
    </row>
    <row r="22" spans="2:30" s="4" customFormat="1" ht="15" x14ac:dyDescent="0.25">
      <c r="B22" s="106" t="s">
        <v>97</v>
      </c>
      <c r="C22" s="84">
        <f t="shared" ref="C22:I22" si="11">C13-SUM(C14:C21)</f>
        <v>0</v>
      </c>
      <c r="D22" s="84">
        <f t="shared" si="11"/>
        <v>0</v>
      </c>
      <c r="E22" s="84">
        <f t="shared" si="11"/>
        <v>0</v>
      </c>
      <c r="F22" s="84">
        <f t="shared" si="11"/>
        <v>0</v>
      </c>
      <c r="G22" s="84">
        <f t="shared" si="11"/>
        <v>0</v>
      </c>
      <c r="H22" s="84">
        <f t="shared" si="11"/>
        <v>0</v>
      </c>
      <c r="I22" s="84">
        <f t="shared" si="11"/>
        <v>17.803000000000338</v>
      </c>
      <c r="J22" s="84">
        <f>J13-SUM(J14:J21)</f>
        <v>144.74200000000019</v>
      </c>
      <c r="L22" s="1218">
        <f t="shared" si="3"/>
        <v>0</v>
      </c>
      <c r="M22" s="862">
        <f t="shared" si="4"/>
        <v>0</v>
      </c>
      <c r="N22" s="862">
        <f t="shared" si="5"/>
        <v>0</v>
      </c>
      <c r="O22" s="862">
        <f t="shared" si="6"/>
        <v>0</v>
      </c>
      <c r="P22" s="862">
        <f t="shared" si="7"/>
        <v>0</v>
      </c>
      <c r="Q22" s="862">
        <f t="shared" si="8"/>
        <v>-17.803000000000338</v>
      </c>
      <c r="R22" s="1219">
        <f t="shared" si="9"/>
        <v>-126.93899999999985</v>
      </c>
      <c r="V22" s="4" t="s">
        <v>190</v>
      </c>
    </row>
    <row r="23" spans="2:30" s="7" customFormat="1" ht="15" x14ac:dyDescent="0.25">
      <c r="B23" s="1182" t="s">
        <v>908</v>
      </c>
      <c r="C23" s="1183">
        <f t="shared" ref="C23:J23" si="12">C13+C4</f>
        <v>6929.2289999999994</v>
      </c>
      <c r="D23" s="1183">
        <f t="shared" si="12"/>
        <v>6426.6579999999994</v>
      </c>
      <c r="E23" s="1183">
        <f t="shared" si="12"/>
        <v>7321.759</v>
      </c>
      <c r="F23" s="1183">
        <f t="shared" si="12"/>
        <v>9197.7530000000006</v>
      </c>
      <c r="G23" s="1183">
        <f t="shared" si="12"/>
        <v>10228.153</v>
      </c>
      <c r="H23" s="1183">
        <f t="shared" si="12"/>
        <v>11410.916000000001</v>
      </c>
      <c r="I23" s="1183">
        <f t="shared" si="12"/>
        <v>12395.004999999999</v>
      </c>
      <c r="J23" s="1183">
        <f t="shared" si="12"/>
        <v>13738.508000000002</v>
      </c>
      <c r="L23" s="1186">
        <f t="shared" si="3"/>
        <v>502.57099999999991</v>
      </c>
      <c r="M23" s="1186">
        <f t="shared" si="4"/>
        <v>-895.10100000000057</v>
      </c>
      <c r="N23" s="1186">
        <f t="shared" si="5"/>
        <v>-1875.9940000000006</v>
      </c>
      <c r="O23" s="1186">
        <f t="shared" si="6"/>
        <v>-1030.3999999999996</v>
      </c>
      <c r="P23" s="1186">
        <f t="shared" si="7"/>
        <v>-1182.7630000000008</v>
      </c>
      <c r="Q23" s="1186">
        <f t="shared" si="8"/>
        <v>-984.08899999999812</v>
      </c>
      <c r="R23" s="1186">
        <f t="shared" si="9"/>
        <v>-1343.5030000000024</v>
      </c>
      <c r="V23" s="113" t="s">
        <v>191</v>
      </c>
      <c r="AD23" s="4"/>
    </row>
    <row r="24" spans="2:30" s="4" customFormat="1" ht="8.25" customHeight="1" x14ac:dyDescent="0.25">
      <c r="C24" s="6"/>
      <c r="D24" s="6"/>
      <c r="E24" s="6"/>
      <c r="F24" s="6"/>
      <c r="G24" s="6"/>
      <c r="H24" s="6"/>
      <c r="I24" s="6"/>
      <c r="J24" s="6"/>
      <c r="L24" s="1218">
        <f t="shared" si="3"/>
        <v>0</v>
      </c>
      <c r="M24" s="862">
        <f t="shared" si="4"/>
        <v>0</v>
      </c>
      <c r="N24" s="862">
        <f t="shared" si="5"/>
        <v>0</v>
      </c>
      <c r="O24" s="862">
        <f t="shared" si="6"/>
        <v>0</v>
      </c>
      <c r="P24" s="862">
        <f t="shared" si="7"/>
        <v>0</v>
      </c>
      <c r="Q24" s="862">
        <f t="shared" si="8"/>
        <v>0</v>
      </c>
      <c r="R24" s="1219">
        <f t="shared" si="9"/>
        <v>0</v>
      </c>
    </row>
    <row r="25" spans="2:30" s="103" customFormat="1" ht="15" x14ac:dyDescent="0.25">
      <c r="B25" s="1180" t="s">
        <v>62</v>
      </c>
      <c r="C25" s="1181">
        <f>UFRS!C61/1000000</f>
        <v>3061.056</v>
      </c>
      <c r="D25" s="1181">
        <f>UFRS!D61/1000000</f>
        <v>3179.663</v>
      </c>
      <c r="E25" s="1181">
        <f>UFRS!E61/1000000</f>
        <v>2341.989</v>
      </c>
      <c r="F25" s="1181">
        <f>UFRS!F61/1000000</f>
        <v>3530.62</v>
      </c>
      <c r="G25" s="1181">
        <f>UFRS!G61/1000000</f>
        <v>3949.7620000000002</v>
      </c>
      <c r="H25" s="1181">
        <f>UFRS!H61/1000000</f>
        <v>4091.143</v>
      </c>
      <c r="I25" s="1181">
        <f>UFRS!I61/1000000</f>
        <v>4430.8029999999999</v>
      </c>
      <c r="J25" s="1181">
        <f>UFRS!J61/1000000</f>
        <v>5236.2969999999996</v>
      </c>
      <c r="L25" s="1220">
        <f t="shared" si="3"/>
        <v>-118.60699999999997</v>
      </c>
      <c r="M25" s="1221">
        <f t="shared" si="4"/>
        <v>837.67399999999998</v>
      </c>
      <c r="N25" s="1221">
        <f t="shared" si="5"/>
        <v>-1188.6309999999999</v>
      </c>
      <c r="O25" s="1221">
        <f t="shared" si="6"/>
        <v>-419.14200000000028</v>
      </c>
      <c r="P25" s="1221">
        <f t="shared" si="7"/>
        <v>-141.38099999999986</v>
      </c>
      <c r="Q25" s="1221">
        <f t="shared" si="8"/>
        <v>-339.65999999999985</v>
      </c>
      <c r="R25" s="1222">
        <f t="shared" si="9"/>
        <v>-805.49399999999969</v>
      </c>
      <c r="V25" s="109" t="s">
        <v>828</v>
      </c>
      <c r="AD25" s="4"/>
    </row>
    <row r="26" spans="2:30" s="4" customFormat="1" ht="15" x14ac:dyDescent="0.25">
      <c r="B26" s="4" t="s">
        <v>7</v>
      </c>
      <c r="C26" s="107">
        <f>SUM(UFRS!C62:C70,UFRS!C73)/1000000</f>
        <v>1920.038</v>
      </c>
      <c r="D26" s="107">
        <f>SUM(UFRS!D62:D70,UFRS!D73)/1000000</f>
        <v>1924.425</v>
      </c>
      <c r="E26" s="107">
        <f>SUM(UFRS!E62:E70,UFRS!E73)/1000000</f>
        <v>839.45899999999995</v>
      </c>
      <c r="F26" s="107">
        <f>SUM(UFRS!F62:F70,UFRS!F73)/1000000</f>
        <v>1629.1379999999999</v>
      </c>
      <c r="G26" s="107">
        <f>SUM(UFRS!G62:G70,UFRS!G73)/1000000</f>
        <v>2148.0859999999998</v>
      </c>
      <c r="H26" s="107">
        <f>SUM(UFRS!H62:H70,UFRS!H73)/1000000</f>
        <v>1687.876</v>
      </c>
      <c r="I26" s="107">
        <f>SUM(UFRS!I62:I70,UFRS!I73)/1000000</f>
        <v>1806.434</v>
      </c>
      <c r="J26" s="107">
        <f>SUM(UFRS!J62:J70,UFRS!J73)/1000000</f>
        <v>2188.0050000000001</v>
      </c>
      <c r="L26" s="1218">
        <f t="shared" si="3"/>
        <v>-4.3869999999999436</v>
      </c>
      <c r="M26" s="862">
        <f t="shared" si="4"/>
        <v>1084.9659999999999</v>
      </c>
      <c r="N26" s="862">
        <f t="shared" si="5"/>
        <v>-789.67899999999997</v>
      </c>
      <c r="O26" s="862">
        <f t="shared" si="6"/>
        <v>-518.94799999999987</v>
      </c>
      <c r="P26" s="862">
        <f t="shared" si="7"/>
        <v>460.20999999999981</v>
      </c>
      <c r="Q26" s="862">
        <f t="shared" si="8"/>
        <v>-118.55799999999999</v>
      </c>
      <c r="R26" s="1219">
        <f t="shared" si="9"/>
        <v>-381.57100000000014</v>
      </c>
      <c r="V26" s="99" t="s">
        <v>192</v>
      </c>
    </row>
    <row r="27" spans="2:30" s="4" customFormat="1" ht="15" x14ac:dyDescent="0.25">
      <c r="B27" s="4" t="s">
        <v>11</v>
      </c>
      <c r="C27" s="107">
        <f>SUM(UFRS!C71:C72)/1000000</f>
        <v>705.327</v>
      </c>
      <c r="D27" s="107">
        <f>SUM(UFRS!D71:D72)/1000000</f>
        <v>762.40200000000004</v>
      </c>
      <c r="E27" s="107">
        <f>SUM(UFRS!E71:E72)/1000000</f>
        <v>968.96199999999999</v>
      </c>
      <c r="F27" s="107">
        <f>SUM(UFRS!F71:F72)/1000000</f>
        <v>1249.5309999999999</v>
      </c>
      <c r="G27" s="107">
        <f>SUM(UFRS!G71:G72)/1000000</f>
        <v>1175.8040000000001</v>
      </c>
      <c r="H27" s="107">
        <f>SUM(UFRS!H71:H72)/1000000</f>
        <v>1644.9</v>
      </c>
      <c r="I27" s="107">
        <f>SUM(UFRS!I71:I72)/1000000</f>
        <v>1781.442</v>
      </c>
      <c r="J27" s="107">
        <f>SUM(UFRS!J71:J72)/1000000</f>
        <v>2090.3939999999998</v>
      </c>
      <c r="L27" s="1218">
        <f t="shared" si="3"/>
        <v>-57.075000000000045</v>
      </c>
      <c r="M27" s="862">
        <f t="shared" si="4"/>
        <v>-206.55999999999995</v>
      </c>
      <c r="N27" s="862">
        <f t="shared" si="5"/>
        <v>-280.56899999999996</v>
      </c>
      <c r="O27" s="862">
        <f t="shared" si="6"/>
        <v>73.726999999999862</v>
      </c>
      <c r="P27" s="862">
        <f t="shared" si="7"/>
        <v>-469.096</v>
      </c>
      <c r="Q27" s="862">
        <f t="shared" si="8"/>
        <v>-136.54199999999992</v>
      </c>
      <c r="R27" s="1219">
        <f t="shared" si="9"/>
        <v>-308.95199999999977</v>
      </c>
      <c r="V27" s="99" t="s">
        <v>193</v>
      </c>
    </row>
    <row r="28" spans="2:30" s="4" customFormat="1" ht="15" x14ac:dyDescent="0.25">
      <c r="B28" s="4" t="s">
        <v>99</v>
      </c>
      <c r="C28" s="1188">
        <f>+UFRS!C74/1000000</f>
        <v>83.834999999999994</v>
      </c>
      <c r="D28" s="1188">
        <f>+UFRS!D74/1000000</f>
        <v>104.533</v>
      </c>
      <c r="E28" s="1188">
        <f>+UFRS!E74/1000000</f>
        <v>129.53</v>
      </c>
      <c r="F28" s="1188">
        <f>+UFRS!F74/1000000</f>
        <v>183.691</v>
      </c>
      <c r="G28" s="1188">
        <f>+UFRS!G74/1000000</f>
        <v>164.98400000000001</v>
      </c>
      <c r="H28" s="1188">
        <f>+UFRS!H74/1000000</f>
        <v>105.386</v>
      </c>
      <c r="I28" s="1188">
        <f>+UFRS!I74/1000000</f>
        <v>124.91800000000001</v>
      </c>
      <c r="J28" s="1188">
        <f>+UFRS!J74/1000000</f>
        <v>168.51900000000001</v>
      </c>
      <c r="L28" s="1218">
        <f t="shared" si="3"/>
        <v>-20.698000000000008</v>
      </c>
      <c r="M28" s="862">
        <f t="shared" si="4"/>
        <v>-24.997</v>
      </c>
      <c r="N28" s="862">
        <f t="shared" si="5"/>
        <v>-54.161000000000001</v>
      </c>
      <c r="O28" s="862">
        <f t="shared" si="6"/>
        <v>18.706999999999994</v>
      </c>
      <c r="P28" s="862">
        <f t="shared" si="7"/>
        <v>59.598000000000013</v>
      </c>
      <c r="Q28" s="862">
        <f t="shared" si="8"/>
        <v>-19.532000000000011</v>
      </c>
      <c r="R28" s="1219">
        <f t="shared" si="9"/>
        <v>-43.600999999999999</v>
      </c>
      <c r="V28" s="99" t="s">
        <v>540</v>
      </c>
    </row>
    <row r="29" spans="2:30" s="4" customFormat="1" ht="15" x14ac:dyDescent="0.25">
      <c r="B29" s="4" t="s">
        <v>705</v>
      </c>
      <c r="C29" s="98">
        <f>+UFRS!C75/1000000</f>
        <v>0</v>
      </c>
      <c r="D29" s="98">
        <f>+UFRS!D75/1000000</f>
        <v>0</v>
      </c>
      <c r="E29" s="98">
        <f>+UFRS!E75/1000000</f>
        <v>0</v>
      </c>
      <c r="F29" s="98">
        <f>+UFRS!F75/1000000</f>
        <v>0</v>
      </c>
      <c r="G29" s="98">
        <f>+UFRS!G75/1000000</f>
        <v>0</v>
      </c>
      <c r="H29" s="98">
        <f>+UFRS!H75/1000000</f>
        <v>0</v>
      </c>
      <c r="I29" s="98">
        <f>+UFRS!I75/1000000</f>
        <v>0</v>
      </c>
      <c r="J29" s="98">
        <f>+UFRS!J75/1000000</f>
        <v>0</v>
      </c>
      <c r="L29" s="1218">
        <f t="shared" si="3"/>
        <v>0</v>
      </c>
      <c r="M29" s="862">
        <f t="shared" si="4"/>
        <v>0</v>
      </c>
      <c r="N29" s="862">
        <f t="shared" si="5"/>
        <v>0</v>
      </c>
      <c r="O29" s="862">
        <f t="shared" si="6"/>
        <v>0</v>
      </c>
      <c r="P29" s="862">
        <f t="shared" si="7"/>
        <v>0</v>
      </c>
      <c r="Q29" s="862">
        <f t="shared" si="8"/>
        <v>0</v>
      </c>
      <c r="R29" s="1219">
        <f t="shared" si="9"/>
        <v>0</v>
      </c>
      <c r="V29" s="99"/>
    </row>
    <row r="30" spans="2:30" s="4" customFormat="1" ht="15" x14ac:dyDescent="0.25">
      <c r="B30" s="4" t="s">
        <v>819</v>
      </c>
      <c r="C30" s="107">
        <f>(UFRS!C69+UFRS!C80)/1000000</f>
        <v>198.29400000000001</v>
      </c>
      <c r="D30" s="107">
        <f>(UFRS!D69+UFRS!D80)/1000000</f>
        <v>204.65899999999999</v>
      </c>
      <c r="E30" s="107">
        <f>(UFRS!E69+UFRS!E80)/1000000</f>
        <v>205.16</v>
      </c>
      <c r="F30" s="107">
        <f>(UFRS!F69+UFRS!F80)/1000000</f>
        <v>232.39</v>
      </c>
      <c r="G30" s="107">
        <f>(UFRS!G69+UFRS!G80)/1000000</f>
        <v>233.37700000000001</v>
      </c>
      <c r="H30" s="107">
        <f>(UFRS!H69+UFRS!H80)/1000000</f>
        <v>258.548</v>
      </c>
      <c r="I30" s="107">
        <f>(UFRS!I69+UFRS!I80)/1000000</f>
        <v>263.99200000000002</v>
      </c>
      <c r="J30" s="107">
        <f>(UFRS!J69+UFRS!J80)/1000000</f>
        <v>334.536</v>
      </c>
      <c r="L30" s="1218">
        <f t="shared" si="3"/>
        <v>-6.3649999999999807</v>
      </c>
      <c r="M30" s="862">
        <f t="shared" si="4"/>
        <v>-0.50100000000000477</v>
      </c>
      <c r="N30" s="862">
        <f t="shared" si="5"/>
        <v>-27.22999999999999</v>
      </c>
      <c r="O30" s="862">
        <f t="shared" si="6"/>
        <v>-0.98700000000002319</v>
      </c>
      <c r="P30" s="862">
        <f t="shared" si="7"/>
        <v>-25.170999999999992</v>
      </c>
      <c r="Q30" s="862">
        <f t="shared" si="8"/>
        <v>-5.4440000000000168</v>
      </c>
      <c r="R30" s="1219">
        <f t="shared" si="9"/>
        <v>-70.543999999999983</v>
      </c>
      <c r="V30" s="99" t="s">
        <v>194</v>
      </c>
    </row>
    <row r="31" spans="2:30" s="4" customFormat="1" ht="15" x14ac:dyDescent="0.25">
      <c r="B31" s="4" t="s">
        <v>913</v>
      </c>
      <c r="C31" s="107">
        <f>+UFRS!C82/1000000</f>
        <v>0</v>
      </c>
      <c r="D31" s="107">
        <f>+UFRS!D82/1000000</f>
        <v>0</v>
      </c>
      <c r="E31" s="107">
        <f>+UFRS!E82/1000000</f>
        <v>0</v>
      </c>
      <c r="F31" s="107">
        <f>+UFRS!F82/1000000</f>
        <v>0</v>
      </c>
      <c r="G31" s="107">
        <f>+UFRS!G82/1000000</f>
        <v>0</v>
      </c>
      <c r="H31" s="107">
        <f>+UFRS!H82/1000000</f>
        <v>0</v>
      </c>
      <c r="I31" s="107">
        <f>+UFRS!I82/1000000</f>
        <v>0</v>
      </c>
      <c r="J31" s="107">
        <f>+UFRS!J82/1000000</f>
        <v>0</v>
      </c>
      <c r="L31" s="1218">
        <f t="shared" si="3"/>
        <v>0</v>
      </c>
      <c r="M31" s="862">
        <f t="shared" si="4"/>
        <v>0</v>
      </c>
      <c r="N31" s="862">
        <f t="shared" si="5"/>
        <v>0</v>
      </c>
      <c r="O31" s="862">
        <f t="shared" si="6"/>
        <v>0</v>
      </c>
      <c r="P31" s="862">
        <f t="shared" si="7"/>
        <v>0</v>
      </c>
      <c r="Q31" s="862">
        <f t="shared" si="8"/>
        <v>0</v>
      </c>
      <c r="R31" s="1219">
        <f t="shared" si="9"/>
        <v>0</v>
      </c>
      <c r="V31" s="4" t="s">
        <v>818</v>
      </c>
    </row>
    <row r="32" spans="2:30" s="4" customFormat="1" ht="15" x14ac:dyDescent="0.25">
      <c r="B32" s="99" t="s">
        <v>102</v>
      </c>
      <c r="C32" s="71">
        <f>C25-SUM(C26:C31)</f>
        <v>153.56200000000035</v>
      </c>
      <c r="D32" s="71">
        <f t="shared" ref="D32:J32" si="13">D25-SUM(D26:D31)</f>
        <v>183.64399999999978</v>
      </c>
      <c r="E32" s="71">
        <f t="shared" si="13"/>
        <v>198.87800000000016</v>
      </c>
      <c r="F32" s="71">
        <f t="shared" si="13"/>
        <v>235.87000000000035</v>
      </c>
      <c r="G32" s="71">
        <f t="shared" si="13"/>
        <v>227.51100000000042</v>
      </c>
      <c r="H32" s="71">
        <f t="shared" si="13"/>
        <v>394.43299999999999</v>
      </c>
      <c r="I32" s="71">
        <f t="shared" si="13"/>
        <v>454.01699999999937</v>
      </c>
      <c r="J32" s="71">
        <f t="shared" si="13"/>
        <v>454.84299999999985</v>
      </c>
      <c r="L32" s="1218">
        <f t="shared" si="3"/>
        <v>-30.081999999999425</v>
      </c>
      <c r="M32" s="862">
        <f t="shared" si="4"/>
        <v>-15.234000000000378</v>
      </c>
      <c r="N32" s="862">
        <f t="shared" si="5"/>
        <v>-36.992000000000189</v>
      </c>
      <c r="O32" s="862">
        <f t="shared" si="6"/>
        <v>8.3589999999999236</v>
      </c>
      <c r="P32" s="862">
        <f t="shared" si="7"/>
        <v>-166.92199999999957</v>
      </c>
      <c r="Q32" s="862">
        <f t="shared" si="8"/>
        <v>-59.583999999999378</v>
      </c>
      <c r="R32" s="1219">
        <f t="shared" si="9"/>
        <v>-0.82600000000047658</v>
      </c>
      <c r="V32" s="106" t="s">
        <v>195</v>
      </c>
    </row>
    <row r="33" spans="2:22" s="103" customFormat="1" ht="15" x14ac:dyDescent="0.25">
      <c r="B33" s="1185" t="s">
        <v>14</v>
      </c>
      <c r="C33" s="1186">
        <f>UFRS!C87/1000000</f>
        <v>1866.8440000000001</v>
      </c>
      <c r="D33" s="1186">
        <f>UFRS!D87/1000000</f>
        <v>503.49200000000002</v>
      </c>
      <c r="E33" s="1186">
        <f>UFRS!E87/1000000</f>
        <v>1572.0360000000001</v>
      </c>
      <c r="F33" s="1186">
        <f>UFRS!F87/1000000</f>
        <v>2015.492</v>
      </c>
      <c r="G33" s="1186">
        <f>UFRS!G87/1000000</f>
        <v>2351.1559999999999</v>
      </c>
      <c r="H33" s="1186">
        <f>UFRS!H87/1000000</f>
        <v>3181.0169999999998</v>
      </c>
      <c r="I33" s="1186">
        <f>UFRS!I87/1000000</f>
        <v>3565.5039999999999</v>
      </c>
      <c r="J33" s="1186">
        <f>UFRS!J87/1000000</f>
        <v>3826.3739999999998</v>
      </c>
      <c r="L33" s="1186">
        <f t="shared" si="3"/>
        <v>1363.3520000000001</v>
      </c>
      <c r="M33" s="1186">
        <f t="shared" si="4"/>
        <v>-1068.5440000000001</v>
      </c>
      <c r="N33" s="1186">
        <f t="shared" si="5"/>
        <v>-443.4559999999999</v>
      </c>
      <c r="O33" s="1186">
        <f t="shared" si="6"/>
        <v>-335.66399999999999</v>
      </c>
      <c r="P33" s="1186">
        <f t="shared" si="7"/>
        <v>-829.86099999999988</v>
      </c>
      <c r="Q33" s="1186">
        <f t="shared" si="8"/>
        <v>-384.48700000000008</v>
      </c>
      <c r="R33" s="1186">
        <f t="shared" si="9"/>
        <v>-260.86999999999989</v>
      </c>
      <c r="V33" s="7" t="s">
        <v>829</v>
      </c>
    </row>
    <row r="34" spans="2:22" s="4" customFormat="1" ht="15" x14ac:dyDescent="0.25">
      <c r="B34" s="4" t="s">
        <v>7</v>
      </c>
      <c r="C34" s="98">
        <f>SUM(UFRS!C88:C92)/1000000</f>
        <v>1576.6030000000001</v>
      </c>
      <c r="D34" s="98">
        <f>SUM(UFRS!D88:D92)/1000000</f>
        <v>188.31399999999999</v>
      </c>
      <c r="E34" s="98">
        <f>SUM(UFRS!E88:E92)/1000000</f>
        <v>1218.0719999999999</v>
      </c>
      <c r="F34" s="98">
        <f>SUM(UFRS!F88:F92)/1000000</f>
        <v>1528.2370000000001</v>
      </c>
      <c r="G34" s="98">
        <f>SUM(UFRS!G88:G92)/1000000</f>
        <v>1859.1030000000001</v>
      </c>
      <c r="H34" s="98">
        <f>SUM(UFRS!H88:H92)/1000000</f>
        <v>2581.1590000000001</v>
      </c>
      <c r="I34" s="98">
        <f>SUM(UFRS!I88:I92)/1000000</f>
        <v>2964.9859999999999</v>
      </c>
      <c r="J34" s="98">
        <f>SUM(UFRS!J88:J92)/1000000</f>
        <v>3268.9070000000002</v>
      </c>
      <c r="L34" s="1218">
        <f t="shared" si="3"/>
        <v>1388.289</v>
      </c>
      <c r="M34" s="862">
        <f t="shared" si="4"/>
        <v>-1029.7579999999998</v>
      </c>
      <c r="N34" s="862">
        <f t="shared" si="5"/>
        <v>-310.16500000000019</v>
      </c>
      <c r="O34" s="862">
        <f t="shared" si="6"/>
        <v>-330.86599999999999</v>
      </c>
      <c r="P34" s="862">
        <f t="shared" si="7"/>
        <v>-722.05600000000004</v>
      </c>
      <c r="Q34" s="862">
        <f t="shared" si="8"/>
        <v>-383.82699999999977</v>
      </c>
      <c r="R34" s="1219">
        <f t="shared" si="9"/>
        <v>-303.92100000000028</v>
      </c>
      <c r="V34" s="4" t="s">
        <v>541</v>
      </c>
    </row>
    <row r="35" spans="2:22" s="4" customFormat="1" ht="15" x14ac:dyDescent="0.25">
      <c r="B35" s="4" t="s">
        <v>11</v>
      </c>
      <c r="C35" s="107">
        <f>SUM(UFRS!C95,UFRS!C96)/1000000</f>
        <v>72.954999999999998</v>
      </c>
      <c r="D35" s="107">
        <f>SUM(UFRS!D95,UFRS!D96)/1000000</f>
        <v>67.38</v>
      </c>
      <c r="E35" s="107">
        <f>SUM(UFRS!E95,UFRS!E96)/1000000</f>
        <v>63.680999999999997</v>
      </c>
      <c r="F35" s="107">
        <f>SUM(UFRS!F95,UFRS!F96)/1000000</f>
        <v>70.539000000000001</v>
      </c>
      <c r="G35" s="107">
        <f>SUM(UFRS!G95,UFRS!G96)/1000000</f>
        <v>59.54</v>
      </c>
      <c r="H35" s="107">
        <f>SUM(UFRS!H95,UFRS!H96)/1000000</f>
        <v>0</v>
      </c>
      <c r="I35" s="107">
        <f>SUM(UFRS!I95,UFRS!I96)/1000000</f>
        <v>0</v>
      </c>
      <c r="J35" s="107">
        <f>SUM(UFRS!J95,UFRS!J96)/1000000</f>
        <v>0</v>
      </c>
      <c r="L35" s="1218">
        <f t="shared" si="3"/>
        <v>5.5750000000000028</v>
      </c>
      <c r="M35" s="862">
        <f t="shared" si="4"/>
        <v>3.6989999999999981</v>
      </c>
      <c r="N35" s="862">
        <f t="shared" si="5"/>
        <v>-6.8580000000000041</v>
      </c>
      <c r="O35" s="862">
        <f t="shared" si="6"/>
        <v>10.999000000000002</v>
      </c>
      <c r="P35" s="862">
        <f t="shared" si="7"/>
        <v>59.54</v>
      </c>
      <c r="Q35" s="862">
        <f t="shared" si="8"/>
        <v>0</v>
      </c>
      <c r="R35" s="1219">
        <f t="shared" si="9"/>
        <v>0</v>
      </c>
      <c r="V35" s="4" t="s">
        <v>196</v>
      </c>
    </row>
    <row r="36" spans="2:22" s="4" customFormat="1" ht="15" x14ac:dyDescent="0.25">
      <c r="B36" s="4" t="s">
        <v>99</v>
      </c>
      <c r="C36" s="98">
        <f>+UFRS!C98/1000000</f>
        <v>0</v>
      </c>
      <c r="D36" s="98">
        <f>+UFRS!D98/1000000</f>
        <v>0</v>
      </c>
      <c r="E36" s="98">
        <f>+UFRS!E98/1000000</f>
        <v>0</v>
      </c>
      <c r="F36" s="98">
        <f>+UFRS!F98/1000000</f>
        <v>0</v>
      </c>
      <c r="G36" s="98">
        <f>+UFRS!G98/1000000</f>
        <v>0</v>
      </c>
      <c r="H36" s="98">
        <f>+UFRS!H98/1000000</f>
        <v>62.427</v>
      </c>
      <c r="I36" s="98">
        <f>+UFRS!I98/1000000</f>
        <v>57.823</v>
      </c>
      <c r="J36" s="98">
        <f>+UFRS!J98/1000000</f>
        <v>60.673999999999999</v>
      </c>
      <c r="L36" s="1218">
        <f t="shared" si="3"/>
        <v>0</v>
      </c>
      <c r="M36" s="862">
        <f t="shared" si="4"/>
        <v>0</v>
      </c>
      <c r="N36" s="862">
        <f t="shared" si="5"/>
        <v>0</v>
      </c>
      <c r="O36" s="862">
        <f t="shared" si="6"/>
        <v>0</v>
      </c>
      <c r="P36" s="862">
        <f t="shared" si="7"/>
        <v>-62.427</v>
      </c>
      <c r="Q36" s="862">
        <f t="shared" si="8"/>
        <v>4.6039999999999992</v>
      </c>
      <c r="R36" s="1219">
        <f t="shared" si="9"/>
        <v>-2.8509999999999991</v>
      </c>
      <c r="V36" s="99" t="s">
        <v>542</v>
      </c>
    </row>
    <row r="37" spans="2:22" s="4" customFormat="1" ht="15" x14ac:dyDescent="0.25">
      <c r="B37" s="4" t="s">
        <v>705</v>
      </c>
      <c r="C37" s="98">
        <f>+UFRS!C100/1000000</f>
        <v>0</v>
      </c>
      <c r="D37" s="98">
        <f>+UFRS!D100/1000000</f>
        <v>0</v>
      </c>
      <c r="E37" s="98">
        <f>+UFRS!E100/1000000</f>
        <v>0</v>
      </c>
      <c r="F37" s="98">
        <f>+UFRS!F100/1000000</f>
        <v>0</v>
      </c>
      <c r="G37" s="98">
        <f>+UFRS!G100/1000000</f>
        <v>0</v>
      </c>
      <c r="H37" s="98">
        <f>+UFRS!H100/1000000</f>
        <v>0</v>
      </c>
      <c r="I37" s="98">
        <f>+UFRS!I100/1000000</f>
        <v>0</v>
      </c>
      <c r="J37" s="98">
        <f>+UFRS!J100/1000000</f>
        <v>0</v>
      </c>
      <c r="L37" s="1218">
        <f t="shared" si="3"/>
        <v>0</v>
      </c>
      <c r="M37" s="862">
        <f t="shared" si="4"/>
        <v>0</v>
      </c>
      <c r="N37" s="862">
        <f t="shared" si="5"/>
        <v>0</v>
      </c>
      <c r="O37" s="862">
        <f t="shared" si="6"/>
        <v>0</v>
      </c>
      <c r="P37" s="862">
        <f t="shared" si="7"/>
        <v>0</v>
      </c>
      <c r="Q37" s="862">
        <f t="shared" si="8"/>
        <v>0</v>
      </c>
      <c r="R37" s="1219">
        <f t="shared" si="9"/>
        <v>0</v>
      </c>
      <c r="V37" s="99"/>
    </row>
    <row r="38" spans="2:22" s="4" customFormat="1" ht="15" x14ac:dyDescent="0.25">
      <c r="B38" s="4" t="s">
        <v>820</v>
      </c>
      <c r="C38" s="107">
        <f>UFRS!C101/1000000</f>
        <v>113.414</v>
      </c>
      <c r="D38" s="107">
        <f>UFRS!D101/1000000</f>
        <v>146.096</v>
      </c>
      <c r="E38" s="107">
        <f>UFRS!E101/1000000</f>
        <v>157.83600000000001</v>
      </c>
      <c r="F38" s="107">
        <f>UFRS!F101/1000000</f>
        <v>188.30099999999999</v>
      </c>
      <c r="G38" s="107">
        <f>UFRS!G101/1000000</f>
        <v>194.40199999999999</v>
      </c>
      <c r="H38" s="107">
        <f>UFRS!H101/1000000</f>
        <v>220.86799999999999</v>
      </c>
      <c r="I38" s="107">
        <f>UFRS!I101/1000000</f>
        <v>268.67099999999999</v>
      </c>
      <c r="J38" s="107">
        <f>UFRS!J101/1000000</f>
        <v>318.52199999999999</v>
      </c>
      <c r="L38" s="1218">
        <f t="shared" si="3"/>
        <v>-32.682000000000002</v>
      </c>
      <c r="M38" s="862">
        <f t="shared" si="4"/>
        <v>-11.740000000000009</v>
      </c>
      <c r="N38" s="862">
        <f t="shared" si="5"/>
        <v>-30.464999999999975</v>
      </c>
      <c r="O38" s="862">
        <f t="shared" si="6"/>
        <v>-6.1009999999999991</v>
      </c>
      <c r="P38" s="862">
        <f t="shared" si="7"/>
        <v>-26.466000000000008</v>
      </c>
      <c r="Q38" s="862">
        <f t="shared" si="8"/>
        <v>-47.802999999999997</v>
      </c>
      <c r="R38" s="1219">
        <f t="shared" si="9"/>
        <v>-49.850999999999999</v>
      </c>
      <c r="V38" s="4" t="s">
        <v>197</v>
      </c>
    </row>
    <row r="39" spans="2:22" s="4" customFormat="1" ht="15" x14ac:dyDescent="0.25">
      <c r="B39" s="4" t="s">
        <v>103</v>
      </c>
      <c r="C39" s="107">
        <f>+UFRS!C107/1000000</f>
        <v>12.401</v>
      </c>
      <c r="D39" s="107">
        <f>+UFRS!D107/1000000</f>
        <v>6.5010000000000003</v>
      </c>
      <c r="E39" s="107">
        <f>+UFRS!E107/1000000</f>
        <v>3.8980000000000001</v>
      </c>
      <c r="F39" s="107">
        <f>+UFRS!F107/1000000</f>
        <v>2.2730000000000001</v>
      </c>
      <c r="G39" s="107">
        <f>+UFRS!G107/1000000</f>
        <v>1.7050000000000001</v>
      </c>
      <c r="H39" s="107">
        <f>+UFRS!H107/1000000</f>
        <v>19.867999999999999</v>
      </c>
      <c r="I39" s="107">
        <f>+UFRS!I107/1000000</f>
        <v>28.602</v>
      </c>
      <c r="J39" s="107">
        <f>+UFRS!J107/1000000</f>
        <v>28.635999999999999</v>
      </c>
      <c r="L39" s="1218">
        <f t="shared" si="3"/>
        <v>5.8999999999999995</v>
      </c>
      <c r="M39" s="862">
        <f t="shared" si="4"/>
        <v>2.6030000000000002</v>
      </c>
      <c r="N39" s="862">
        <f t="shared" si="5"/>
        <v>1.625</v>
      </c>
      <c r="O39" s="862">
        <f t="shared" si="6"/>
        <v>0.56800000000000006</v>
      </c>
      <c r="P39" s="862">
        <f t="shared" si="7"/>
        <v>-18.162999999999997</v>
      </c>
      <c r="Q39" s="862">
        <f t="shared" si="8"/>
        <v>-8.7340000000000018</v>
      </c>
      <c r="R39" s="1219">
        <f t="shared" si="9"/>
        <v>-3.399999999999892E-2</v>
      </c>
      <c r="V39" s="4" t="s">
        <v>198</v>
      </c>
    </row>
    <row r="40" spans="2:22" s="4" customFormat="1" ht="15" x14ac:dyDescent="0.25">
      <c r="B40" s="4" t="s">
        <v>984</v>
      </c>
      <c r="C40" s="107">
        <f>UFRS!C103/1000000</f>
        <v>91.471000000000004</v>
      </c>
      <c r="D40" s="107">
        <f>UFRS!D103/1000000</f>
        <v>95.200999999999993</v>
      </c>
      <c r="E40" s="107">
        <f>UFRS!E103/1000000</f>
        <v>128.54900000000001</v>
      </c>
      <c r="F40" s="107">
        <f>UFRS!F103/1000000</f>
        <v>226.142</v>
      </c>
      <c r="G40" s="107">
        <f>UFRS!G103/1000000</f>
        <v>236.40600000000001</v>
      </c>
      <c r="H40" s="107">
        <f>UFRS!H103/1000000</f>
        <v>245.51499999999999</v>
      </c>
      <c r="I40" s="107">
        <f>UFRS!I103/1000000</f>
        <v>245.422</v>
      </c>
      <c r="J40" s="107">
        <f>UFRS!J103/1000000</f>
        <v>149.63499999999999</v>
      </c>
      <c r="L40" s="1218">
        <f t="shared" si="3"/>
        <v>-3.7299999999999898</v>
      </c>
      <c r="M40" s="862">
        <f t="shared" si="4"/>
        <v>-33.348000000000013</v>
      </c>
      <c r="N40" s="862">
        <f t="shared" si="5"/>
        <v>-97.592999999999989</v>
      </c>
      <c r="O40" s="862">
        <f t="shared" si="6"/>
        <v>-10.26400000000001</v>
      </c>
      <c r="P40" s="862">
        <f t="shared" si="7"/>
        <v>-9.1089999999999804</v>
      </c>
      <c r="Q40" s="862">
        <f t="shared" si="8"/>
        <v>9.2999999999989313E-2</v>
      </c>
      <c r="R40" s="1219">
        <f t="shared" si="9"/>
        <v>95.787000000000006</v>
      </c>
      <c r="V40" s="4" t="s">
        <v>199</v>
      </c>
    </row>
    <row r="41" spans="2:22" s="4" customFormat="1" ht="15" x14ac:dyDescent="0.25">
      <c r="B41" s="4" t="s">
        <v>103</v>
      </c>
      <c r="C41" s="98">
        <f t="shared" ref="C41:I41" si="14">C33-SUM(C34:C40)</f>
        <v>0</v>
      </c>
      <c r="D41" s="98">
        <f t="shared" si="14"/>
        <v>0</v>
      </c>
      <c r="E41" s="98">
        <f t="shared" si="14"/>
        <v>0</v>
      </c>
      <c r="F41" s="98">
        <f t="shared" si="14"/>
        <v>0</v>
      </c>
      <c r="G41" s="98">
        <f t="shared" si="14"/>
        <v>0</v>
      </c>
      <c r="H41" s="98">
        <f t="shared" si="14"/>
        <v>51.179999999999836</v>
      </c>
      <c r="I41" s="98">
        <f t="shared" si="14"/>
        <v>0</v>
      </c>
      <c r="J41" s="98">
        <f>J33-SUM(J34:J40)</f>
        <v>0</v>
      </c>
      <c r="L41" s="1218">
        <f t="shared" si="3"/>
        <v>0</v>
      </c>
      <c r="M41" s="862">
        <f t="shared" si="4"/>
        <v>0</v>
      </c>
      <c r="N41" s="862">
        <f t="shared" si="5"/>
        <v>0</v>
      </c>
      <c r="O41" s="862">
        <f t="shared" si="6"/>
        <v>0</v>
      </c>
      <c r="P41" s="862">
        <f t="shared" si="7"/>
        <v>-51.179999999999836</v>
      </c>
      <c r="Q41" s="862">
        <f t="shared" si="8"/>
        <v>51.179999999999836</v>
      </c>
      <c r="R41" s="1219">
        <f t="shared" si="9"/>
        <v>0</v>
      </c>
      <c r="V41" s="4" t="s">
        <v>200</v>
      </c>
    </row>
    <row r="42" spans="2:22" s="7" customFormat="1" ht="15" x14ac:dyDescent="0.25">
      <c r="B42" s="1185" t="s">
        <v>821</v>
      </c>
      <c r="C42" s="1186">
        <f t="shared" ref="C42:J42" si="15">C43+C48</f>
        <v>2001.3290000000002</v>
      </c>
      <c r="D42" s="1186">
        <f t="shared" si="15"/>
        <v>2743.5030000000002</v>
      </c>
      <c r="E42" s="1186">
        <f t="shared" si="15"/>
        <v>3407.7339999999999</v>
      </c>
      <c r="F42" s="1186">
        <f t="shared" si="15"/>
        <v>3651.6410000000001</v>
      </c>
      <c r="G42" s="1186">
        <f t="shared" si="15"/>
        <v>3927.2350000000001</v>
      </c>
      <c r="H42" s="1186">
        <f t="shared" si="15"/>
        <v>4138.7560000000003</v>
      </c>
      <c r="I42" s="1186">
        <f t="shared" si="15"/>
        <v>4398.6980000000003</v>
      </c>
      <c r="J42" s="1186">
        <f t="shared" si="15"/>
        <v>4675.8370000000004</v>
      </c>
      <c r="L42" s="1186">
        <f t="shared" si="3"/>
        <v>-742.17399999999998</v>
      </c>
      <c r="M42" s="1186">
        <f t="shared" si="4"/>
        <v>-664.23099999999977</v>
      </c>
      <c r="N42" s="1186">
        <f t="shared" si="5"/>
        <v>-243.90700000000015</v>
      </c>
      <c r="O42" s="1186">
        <f t="shared" si="6"/>
        <v>-275.59400000000005</v>
      </c>
      <c r="P42" s="1186">
        <f t="shared" si="7"/>
        <v>-211.52100000000019</v>
      </c>
      <c r="Q42" s="1186">
        <f t="shared" si="8"/>
        <v>-259.94200000000001</v>
      </c>
      <c r="R42" s="1186">
        <f t="shared" si="9"/>
        <v>-277.13900000000012</v>
      </c>
      <c r="V42" s="113" t="s">
        <v>201</v>
      </c>
    </row>
    <row r="43" spans="2:22" s="7" customFormat="1" ht="15" x14ac:dyDescent="0.25">
      <c r="B43" s="7" t="s">
        <v>826</v>
      </c>
      <c r="C43" s="102">
        <f>UFRS!C113/1000000</f>
        <v>1938.0640000000001</v>
      </c>
      <c r="D43" s="102">
        <f>UFRS!D113/1000000</f>
        <v>2700.1210000000001</v>
      </c>
      <c r="E43" s="102">
        <f>UFRS!E113/1000000</f>
        <v>3341.5520000000001</v>
      </c>
      <c r="F43" s="102">
        <f>UFRS!F113/1000000</f>
        <v>3545.5920000000001</v>
      </c>
      <c r="G43" s="102">
        <f>UFRS!G113/1000000</f>
        <v>3841.652</v>
      </c>
      <c r="H43" s="102">
        <f>UFRS!H113/1000000</f>
        <v>4062.85</v>
      </c>
      <c r="I43" s="102">
        <f>UFRS!I113/1000000</f>
        <v>4355.625</v>
      </c>
      <c r="J43" s="102">
        <f>UFRS!J113/1000000</f>
        <v>4657.0110000000004</v>
      </c>
      <c r="L43" s="1223">
        <f t="shared" si="3"/>
        <v>-762.05700000000002</v>
      </c>
      <c r="M43" s="1224">
        <f t="shared" si="4"/>
        <v>-641.43100000000004</v>
      </c>
      <c r="N43" s="1224">
        <f t="shared" si="5"/>
        <v>-204.03999999999996</v>
      </c>
      <c r="O43" s="1224">
        <f t="shared" si="6"/>
        <v>-296.05999999999995</v>
      </c>
      <c r="P43" s="1224">
        <f t="shared" si="7"/>
        <v>-221.19799999999987</v>
      </c>
      <c r="Q43" s="1224">
        <f t="shared" si="8"/>
        <v>-292.77500000000009</v>
      </c>
      <c r="R43" s="1225">
        <f t="shared" si="9"/>
        <v>-301.38600000000042</v>
      </c>
      <c r="V43" s="7" t="s">
        <v>543</v>
      </c>
    </row>
    <row r="44" spans="2:22" s="4" customFormat="1" ht="15" x14ac:dyDescent="0.25">
      <c r="B44" s="4" t="s">
        <v>844</v>
      </c>
      <c r="C44" s="98">
        <f>+SUM(UFRS!C114:C115)/1000000</f>
        <v>399.96</v>
      </c>
      <c r="D44" s="98">
        <f>+SUM(UFRS!D114:D115)/1000000</f>
        <v>675.72799999999995</v>
      </c>
      <c r="E44" s="98">
        <f>+SUM(UFRS!E114:E115)/1000000</f>
        <v>675.72799999999995</v>
      </c>
      <c r="F44" s="98">
        <f>+SUM(UFRS!F114:F115)/1000000</f>
        <v>675.72799999999995</v>
      </c>
      <c r="G44" s="98">
        <f>+SUM(UFRS!G114:G115)/1000000</f>
        <v>675.72799999999995</v>
      </c>
      <c r="H44" s="98">
        <f>+SUM(UFRS!H114:H115)/1000000</f>
        <v>675.72799999999995</v>
      </c>
      <c r="I44" s="98">
        <f>+SUM(UFRS!I114:I115)/1000000</f>
        <v>675.72799999999995</v>
      </c>
      <c r="J44" s="98">
        <f>+SUM(UFRS!J114:J115)/1000000</f>
        <v>675.72799999999995</v>
      </c>
      <c r="L44" s="1218">
        <f t="shared" si="3"/>
        <v>-275.76799999999997</v>
      </c>
      <c r="M44" s="862">
        <f t="shared" si="4"/>
        <v>0</v>
      </c>
      <c r="N44" s="862">
        <f t="shared" si="5"/>
        <v>0</v>
      </c>
      <c r="O44" s="862">
        <f t="shared" si="6"/>
        <v>0</v>
      </c>
      <c r="P44" s="862">
        <f t="shared" si="7"/>
        <v>0</v>
      </c>
      <c r="Q44" s="862">
        <f t="shared" si="8"/>
        <v>0</v>
      </c>
      <c r="R44" s="1219">
        <f t="shared" si="9"/>
        <v>0</v>
      </c>
      <c r="V44" s="4" t="s">
        <v>841</v>
      </c>
    </row>
    <row r="45" spans="2:22" s="4" customFormat="1" ht="15" x14ac:dyDescent="0.25">
      <c r="B45" s="4" t="s">
        <v>845</v>
      </c>
      <c r="C45" s="98">
        <f>UFRS!C235/1000000</f>
        <v>797.60900000000004</v>
      </c>
      <c r="D45" s="98">
        <f>UFRS!D235/1000000</f>
        <v>788.39499999999998</v>
      </c>
      <c r="E45" s="98">
        <f>UFRS!E235/1000000</f>
        <v>1011.254</v>
      </c>
      <c r="F45" s="98">
        <f>UFRS!F235/1000000</f>
        <v>957.12699999999995</v>
      </c>
      <c r="G45" s="98">
        <f>UFRS!G235/1000000</f>
        <v>1026.7750000000001</v>
      </c>
      <c r="H45" s="98">
        <f>UFRS!H235/1000000</f>
        <v>1222.1690000000001</v>
      </c>
      <c r="I45" s="98">
        <f>UFRS!I235/1000000</f>
        <v>1241.059</v>
      </c>
      <c r="J45" s="98">
        <f>UFRS!J235/1000000</f>
        <v>1244.2660000000001</v>
      </c>
      <c r="L45" s="1218">
        <f t="shared" si="3"/>
        <v>9.2140000000000555</v>
      </c>
      <c r="M45" s="862">
        <f t="shared" si="4"/>
        <v>-222.85900000000004</v>
      </c>
      <c r="N45" s="862">
        <f t="shared" si="5"/>
        <v>54.127000000000066</v>
      </c>
      <c r="O45" s="862">
        <f t="shared" si="6"/>
        <v>-69.648000000000138</v>
      </c>
      <c r="P45" s="862">
        <f t="shared" si="7"/>
        <v>-195.39400000000001</v>
      </c>
      <c r="Q45" s="862">
        <f t="shared" si="8"/>
        <v>-18.889999999999873</v>
      </c>
      <c r="R45" s="1219">
        <f t="shared" si="9"/>
        <v>-3.2070000000001073</v>
      </c>
      <c r="V45" s="4" t="s">
        <v>842</v>
      </c>
    </row>
    <row r="46" spans="2:22" s="4" customFormat="1" ht="15" x14ac:dyDescent="0.25">
      <c r="B46" s="4" t="s">
        <v>846</v>
      </c>
      <c r="C46" s="98">
        <f>UFRS!C236/1000000</f>
        <v>39.793999999999997</v>
      </c>
      <c r="D46" s="98">
        <f>UFRS!D236/1000000</f>
        <v>485.41</v>
      </c>
      <c r="E46" s="98">
        <f>UFRS!E236/1000000</f>
        <v>517.09299999999996</v>
      </c>
      <c r="F46" s="98">
        <f>UFRS!F236/1000000</f>
        <v>506.50599999999997</v>
      </c>
      <c r="G46" s="98">
        <f>UFRS!G236/1000000</f>
        <v>524.76400000000001</v>
      </c>
      <c r="H46" s="98">
        <f>UFRS!H236/1000000</f>
        <v>597.84500000000003</v>
      </c>
      <c r="I46" s="98">
        <f>UFRS!I236/1000000</f>
        <v>617.08399999999995</v>
      </c>
      <c r="J46" s="98">
        <f>UFRS!J236/1000000</f>
        <v>891.14099999999996</v>
      </c>
      <c r="L46" s="1218">
        <f t="shared" si="3"/>
        <v>-445.61600000000004</v>
      </c>
      <c r="M46" s="862">
        <f t="shared" si="4"/>
        <v>-31.682999999999936</v>
      </c>
      <c r="N46" s="862">
        <f t="shared" si="5"/>
        <v>10.586999999999989</v>
      </c>
      <c r="O46" s="862">
        <f t="shared" si="6"/>
        <v>-18.258000000000038</v>
      </c>
      <c r="P46" s="862">
        <f t="shared" si="7"/>
        <v>-73.081000000000017</v>
      </c>
      <c r="Q46" s="862">
        <f t="shared" si="8"/>
        <v>-19.238999999999919</v>
      </c>
      <c r="R46" s="1219">
        <f t="shared" si="9"/>
        <v>-274.05700000000002</v>
      </c>
      <c r="V46" s="4" t="s">
        <v>843</v>
      </c>
    </row>
    <row r="47" spans="2:22" s="4" customFormat="1" ht="15" x14ac:dyDescent="0.25">
      <c r="B47" s="4" t="s">
        <v>857</v>
      </c>
      <c r="C47" s="98">
        <f>UFRS!C237/1000000</f>
        <v>700.70100000000002</v>
      </c>
      <c r="D47" s="98">
        <f>UFRS!D237/1000000</f>
        <v>750.58799999999997</v>
      </c>
      <c r="E47" s="98">
        <f>UFRS!E237/1000000</f>
        <v>1137.4770000000001</v>
      </c>
      <c r="F47" s="98">
        <f>UFRS!F237/1000000</f>
        <v>1406.231</v>
      </c>
      <c r="G47" s="98">
        <f>UFRS!G237/1000000</f>
        <v>1614.385</v>
      </c>
      <c r="H47" s="98">
        <f>UFRS!H237/1000000</f>
        <v>1567.1079999999999</v>
      </c>
      <c r="I47" s="98">
        <f>UFRS!I237/1000000</f>
        <v>1821.7539999999999</v>
      </c>
      <c r="J47" s="98">
        <f>UFRS!J237/1000000</f>
        <v>1845.876</v>
      </c>
      <c r="L47" s="1218">
        <f t="shared" si="3"/>
        <v>-49.886999999999944</v>
      </c>
      <c r="M47" s="862">
        <f t="shared" si="4"/>
        <v>-386.88900000000012</v>
      </c>
      <c r="N47" s="862">
        <f t="shared" si="5"/>
        <v>-268.75399999999991</v>
      </c>
      <c r="O47" s="862">
        <f t="shared" si="6"/>
        <v>-208.154</v>
      </c>
      <c r="P47" s="862">
        <f t="shared" si="7"/>
        <v>47.277000000000044</v>
      </c>
      <c r="Q47" s="862">
        <f t="shared" si="8"/>
        <v>-254.64599999999996</v>
      </c>
      <c r="R47" s="1219">
        <f t="shared" si="9"/>
        <v>-24.122000000000071</v>
      </c>
      <c r="V47" s="4" t="s">
        <v>856</v>
      </c>
    </row>
    <row r="48" spans="2:22" s="7" customFormat="1" ht="15" x14ac:dyDescent="0.25">
      <c r="B48" s="7" t="s">
        <v>822</v>
      </c>
      <c r="C48" s="102">
        <f>UFRS!C110/1000000</f>
        <v>63.265000000000001</v>
      </c>
      <c r="D48" s="102">
        <f>UFRS!D110/1000000</f>
        <v>43.381999999999998</v>
      </c>
      <c r="E48" s="102">
        <f>UFRS!E110/1000000</f>
        <v>66.182000000000002</v>
      </c>
      <c r="F48" s="102">
        <f>UFRS!F110/1000000</f>
        <v>106.04900000000001</v>
      </c>
      <c r="G48" s="102">
        <f>UFRS!G110/1000000</f>
        <v>85.582999999999998</v>
      </c>
      <c r="H48" s="102">
        <f>UFRS!H110/1000000</f>
        <v>75.906000000000006</v>
      </c>
      <c r="I48" s="102">
        <f>UFRS!I110/1000000</f>
        <v>43.073</v>
      </c>
      <c r="J48" s="102">
        <f>UFRS!J110/1000000</f>
        <v>18.826000000000001</v>
      </c>
      <c r="L48" s="1223">
        <f t="shared" si="3"/>
        <v>19.883000000000003</v>
      </c>
      <c r="M48" s="1224">
        <f t="shared" si="4"/>
        <v>-22.800000000000004</v>
      </c>
      <c r="N48" s="1224">
        <f t="shared" si="5"/>
        <v>-39.867000000000004</v>
      </c>
      <c r="O48" s="1224">
        <f t="shared" si="6"/>
        <v>20.466000000000008</v>
      </c>
      <c r="P48" s="1224">
        <f t="shared" si="7"/>
        <v>9.6769999999999925</v>
      </c>
      <c r="Q48" s="1224">
        <f t="shared" si="8"/>
        <v>32.833000000000006</v>
      </c>
      <c r="R48" s="1225">
        <f t="shared" si="9"/>
        <v>24.247</v>
      </c>
      <c r="V48" s="7" t="s">
        <v>544</v>
      </c>
    </row>
    <row r="49" spans="2:28" s="7" customFormat="1" ht="15" x14ac:dyDescent="0.25">
      <c r="B49" s="1182" t="s">
        <v>823</v>
      </c>
      <c r="C49" s="1183">
        <f t="shared" ref="C49:J49" si="16">C42+C33+C25</f>
        <v>6929.2290000000003</v>
      </c>
      <c r="D49" s="1183">
        <f t="shared" si="16"/>
        <v>6426.6580000000004</v>
      </c>
      <c r="E49" s="1183">
        <f t="shared" si="16"/>
        <v>7321.759</v>
      </c>
      <c r="F49" s="1183">
        <f t="shared" si="16"/>
        <v>9197.7530000000006</v>
      </c>
      <c r="G49" s="1183">
        <f t="shared" si="16"/>
        <v>10228.153</v>
      </c>
      <c r="H49" s="1183">
        <f t="shared" si="16"/>
        <v>11410.916000000001</v>
      </c>
      <c r="I49" s="1183">
        <f t="shared" si="16"/>
        <v>12395.005000000001</v>
      </c>
      <c r="J49" s="1183">
        <f t="shared" si="16"/>
        <v>13738.507999999998</v>
      </c>
      <c r="L49" s="1186">
        <f t="shared" si="3"/>
        <v>502.57099999999991</v>
      </c>
      <c r="M49" s="1186">
        <f t="shared" si="4"/>
        <v>-895.10099999999966</v>
      </c>
      <c r="N49" s="1186">
        <f t="shared" si="5"/>
        <v>-1875.9940000000006</v>
      </c>
      <c r="O49" s="1186">
        <f t="shared" si="6"/>
        <v>-1030.3999999999996</v>
      </c>
      <c r="P49" s="1186">
        <f t="shared" si="7"/>
        <v>-1182.7630000000008</v>
      </c>
      <c r="Q49" s="1186">
        <f t="shared" si="8"/>
        <v>-984.08899999999994</v>
      </c>
      <c r="R49" s="1186">
        <f t="shared" si="9"/>
        <v>-1343.502999999997</v>
      </c>
      <c r="V49" s="113" t="s">
        <v>203</v>
      </c>
    </row>
    <row r="51" spans="2:28" s="4" customFormat="1" ht="15" x14ac:dyDescent="0.25">
      <c r="C51" s="6"/>
      <c r="D51" s="6"/>
      <c r="E51" s="6"/>
      <c r="F51" s="6"/>
      <c r="G51" s="6"/>
      <c r="H51" s="6"/>
      <c r="I51" s="6"/>
      <c r="J51" s="6"/>
      <c r="K51" s="1845" t="s">
        <v>221</v>
      </c>
      <c r="L51" s="1844">
        <f>+L49-L23</f>
        <v>0</v>
      </c>
      <c r="M51" s="1844">
        <f t="shared" ref="M51:R51" si="17">+M49-M23</f>
        <v>9.0949470177292824E-13</v>
      </c>
      <c r="N51" s="1844">
        <f t="shared" si="17"/>
        <v>0</v>
      </c>
      <c r="O51" s="1844">
        <f t="shared" si="17"/>
        <v>0</v>
      </c>
      <c r="P51" s="1844">
        <f t="shared" si="17"/>
        <v>0</v>
      </c>
      <c r="Q51" s="1844">
        <f t="shared" si="17"/>
        <v>-1.8189894035458565E-12</v>
      </c>
      <c r="R51" s="1844">
        <f t="shared" si="17"/>
        <v>5.4569682106375694E-12</v>
      </c>
      <c r="S51" s="116"/>
      <c r="T51" s="116"/>
      <c r="U51" s="116"/>
      <c r="W51" s="116"/>
      <c r="X51" s="116"/>
      <c r="Y51" s="116"/>
      <c r="Z51" s="116"/>
      <c r="AA51" s="116"/>
      <c r="AB51" s="116"/>
    </row>
    <row r="52" spans="2:28" s="4" customFormat="1" ht="21" x14ac:dyDescent="0.45">
      <c r="B52" s="2062" t="s">
        <v>943</v>
      </c>
      <c r="C52" s="2059" t="s">
        <v>942</v>
      </c>
      <c r="D52" s="2059"/>
      <c r="E52" s="2059"/>
      <c r="F52" s="2059"/>
      <c r="G52" s="2059"/>
      <c r="H52" s="2059"/>
      <c r="I52" s="2059"/>
      <c r="J52" s="2059"/>
      <c r="K52" s="116"/>
      <c r="L52" s="116"/>
      <c r="M52" s="116"/>
      <c r="N52" s="116"/>
      <c r="O52" s="116"/>
      <c r="P52" s="116"/>
      <c r="Q52" s="116"/>
      <c r="R52" s="116"/>
      <c r="S52" s="116"/>
      <c r="T52" s="116"/>
      <c r="U52" s="116"/>
      <c r="V52" s="2058" t="s">
        <v>204</v>
      </c>
      <c r="W52" s="116"/>
      <c r="X52" s="116"/>
      <c r="Y52" s="116"/>
      <c r="Z52" s="116"/>
      <c r="AA52" s="116"/>
      <c r="AB52" s="116"/>
    </row>
    <row r="53" spans="2:28" s="7" customFormat="1" ht="15.75" thickBot="1" x14ac:dyDescent="0.3">
      <c r="B53" s="2063"/>
      <c r="C53" s="1184" t="str">
        <f t="shared" ref="C53:J53" si="18">C3</f>
        <v>2008/12</v>
      </c>
      <c r="D53" s="1184" t="str">
        <f t="shared" si="18"/>
        <v>2009/12</v>
      </c>
      <c r="E53" s="1184" t="str">
        <f t="shared" si="18"/>
        <v>2010/12</v>
      </c>
      <c r="F53" s="1184" t="str">
        <f t="shared" si="18"/>
        <v>2011/12</v>
      </c>
      <c r="G53" s="1184" t="str">
        <f t="shared" si="18"/>
        <v>2012/12</v>
      </c>
      <c r="H53" s="1184" t="str">
        <f t="shared" si="18"/>
        <v>2013/12</v>
      </c>
      <c r="I53" s="1184" t="str">
        <f t="shared" si="18"/>
        <v>2014/12</v>
      </c>
      <c r="J53" s="1184" t="str">
        <f t="shared" si="18"/>
        <v>2015/12</v>
      </c>
      <c r="K53" s="116"/>
      <c r="L53" s="116"/>
      <c r="M53" s="116"/>
      <c r="N53" s="116"/>
      <c r="O53" s="116"/>
      <c r="P53" s="116"/>
      <c r="Q53" s="116"/>
      <c r="R53" s="116"/>
      <c r="S53" s="116"/>
      <c r="T53" s="116"/>
      <c r="U53" s="116"/>
      <c r="V53" s="2058"/>
      <c r="W53" s="116"/>
      <c r="X53" s="116"/>
      <c r="Y53" s="116"/>
      <c r="Z53" s="116"/>
      <c r="AA53" s="116"/>
      <c r="AB53" s="116"/>
    </row>
    <row r="54" spans="2:28" s="7" customFormat="1" ht="16.149999999999999" customHeight="1" x14ac:dyDescent="0.25">
      <c r="B54" s="1179" t="s">
        <v>150</v>
      </c>
      <c r="C54" s="102">
        <f>+UFRS!C152/1000000</f>
        <v>6775.5379999999996</v>
      </c>
      <c r="D54" s="102">
        <f>+UFRS!D152/1000000</f>
        <v>7186.7460000000001</v>
      </c>
      <c r="E54" s="102">
        <f>+UFRS!E152/1000000</f>
        <v>7388.9920000000002</v>
      </c>
      <c r="F54" s="102">
        <f>+UFRS!F152/1000000</f>
        <v>9038.9609999999993</v>
      </c>
      <c r="G54" s="102">
        <f>+UFRS!G152/1000000</f>
        <v>11416.638999999999</v>
      </c>
      <c r="H54" s="102">
        <f>+UFRS!H152/1000000</f>
        <v>12195.197</v>
      </c>
      <c r="I54" s="102">
        <f>+UFRS!I152/1000000</f>
        <v>13941.637000000001</v>
      </c>
      <c r="J54" s="102">
        <f>+UFRS!J152/1000000</f>
        <v>15905.101000000001</v>
      </c>
      <c r="K54" s="116"/>
      <c r="L54" s="116"/>
      <c r="M54" s="116"/>
      <c r="N54" s="116"/>
      <c r="O54" s="116"/>
      <c r="P54" s="116"/>
      <c r="Q54" s="116"/>
      <c r="R54" s="116"/>
      <c r="S54" s="116"/>
      <c r="T54" s="116"/>
      <c r="U54" s="116"/>
      <c r="V54" s="1179" t="s">
        <v>938</v>
      </c>
      <c r="W54" s="116"/>
      <c r="X54" s="116"/>
      <c r="Y54" s="116"/>
      <c r="Z54" s="116"/>
      <c r="AA54" s="116"/>
      <c r="AB54" s="116"/>
    </row>
    <row r="55" spans="2:28" s="4" customFormat="1" ht="16.149999999999999" customHeight="1" x14ac:dyDescent="0.25">
      <c r="B55" s="786" t="s">
        <v>941</v>
      </c>
      <c r="C55" s="98">
        <f>+UFRS!C156/1000000</f>
        <v>724.53381157778335</v>
      </c>
      <c r="D55" s="98">
        <f>+UFRS!D156/1000000</f>
        <v>594.851</v>
      </c>
      <c r="E55" s="98">
        <f>+UFRS!E156/1000000</f>
        <v>452.572</v>
      </c>
      <c r="F55" s="98">
        <f>+UFRS!F156/1000000</f>
        <v>601.72199999999998</v>
      </c>
      <c r="G55" s="98">
        <f>+UFRS!G156/1000000</f>
        <v>859.77800000000002</v>
      </c>
      <c r="H55" s="98">
        <f>+UFRS!H156/1000000</f>
        <v>1097.4860000000001</v>
      </c>
      <c r="I55" s="98">
        <f>+UFRS!I156/1000000</f>
        <v>1427.604</v>
      </c>
      <c r="J55" s="98">
        <f>+UFRS!J156/1000000</f>
        <v>1739.001</v>
      </c>
      <c r="K55" s="610"/>
      <c r="L55" s="610"/>
      <c r="M55" s="610"/>
      <c r="N55" s="610"/>
      <c r="O55" s="610"/>
      <c r="P55" s="610"/>
      <c r="Q55" s="610"/>
      <c r="R55" s="610"/>
      <c r="S55" s="610"/>
      <c r="T55" s="610"/>
      <c r="U55" s="610"/>
      <c r="V55" s="786" t="s">
        <v>939</v>
      </c>
      <c r="W55" s="610"/>
      <c r="X55" s="610"/>
      <c r="Y55" s="610"/>
      <c r="Z55" s="610"/>
      <c r="AA55" s="610"/>
      <c r="AB55" s="610"/>
    </row>
    <row r="56" spans="2:28" s="7" customFormat="1" ht="15" x14ac:dyDescent="0.25">
      <c r="B56" s="7" t="s">
        <v>946</v>
      </c>
      <c r="C56" s="102">
        <f>UFRS!C161/1000000</f>
        <v>6775.5379999999996</v>
      </c>
      <c r="D56" s="102">
        <f>UFRS!D161/1000000</f>
        <v>6591.8950000000004</v>
      </c>
      <c r="E56" s="102">
        <f>UFRS!E161/1000000</f>
        <v>6936.42</v>
      </c>
      <c r="F56" s="102">
        <f>UFRS!F161/1000000</f>
        <v>8437.2389999999996</v>
      </c>
      <c r="G56" s="102">
        <f>UFRS!G161/1000000</f>
        <v>10556.861000000001</v>
      </c>
      <c r="H56" s="102">
        <f>UFRS!H161/1000000</f>
        <v>11097.710999999999</v>
      </c>
      <c r="I56" s="102">
        <f>UFRS!I161/1000000</f>
        <v>12514.032999999999</v>
      </c>
      <c r="J56" s="102">
        <f>UFRS!J161/1000000</f>
        <v>14166.1</v>
      </c>
      <c r="K56" s="116"/>
      <c r="L56" s="116"/>
      <c r="M56" s="116"/>
      <c r="N56" s="116"/>
      <c r="O56" s="116"/>
      <c r="P56" s="116"/>
      <c r="Q56" s="116"/>
      <c r="R56" s="116"/>
      <c r="S56" s="116"/>
      <c r="T56" s="116"/>
      <c r="U56" s="116"/>
      <c r="V56" s="7" t="s">
        <v>286</v>
      </c>
      <c r="W56" s="116"/>
      <c r="X56" s="116"/>
      <c r="Y56" s="116"/>
      <c r="Z56" s="116"/>
      <c r="AA56" s="116"/>
      <c r="AB56" s="116"/>
    </row>
    <row r="57" spans="2:28" s="4" customFormat="1" ht="15" x14ac:dyDescent="0.25">
      <c r="B57" s="4" t="s">
        <v>296</v>
      </c>
      <c r="C57" s="98">
        <f>UFRS!C163/1000000</f>
        <v>4905.2920000000004</v>
      </c>
      <c r="D57" s="98">
        <f>UFRS!D163/1000000</f>
        <v>4417.8919999999998</v>
      </c>
      <c r="E57" s="98">
        <f>UFRS!E163/1000000</f>
        <v>4868.473</v>
      </c>
      <c r="F57" s="98">
        <f>UFRS!F163/1000000</f>
        <v>5897.009</v>
      </c>
      <c r="G57" s="98">
        <f>UFRS!G163/1000000</f>
        <v>7503.0240000000003</v>
      </c>
      <c r="H57" s="98">
        <f>UFRS!H163/1000000</f>
        <v>7709.326</v>
      </c>
      <c r="I57" s="98">
        <f>UFRS!I163/1000000</f>
        <v>8535.2009999999991</v>
      </c>
      <c r="J57" s="98">
        <f>UFRS!J163/1000000</f>
        <v>9630.2070000000003</v>
      </c>
      <c r="K57" s="116"/>
      <c r="L57" s="116"/>
      <c r="M57" s="116"/>
      <c r="N57" s="116"/>
      <c r="O57" s="116"/>
      <c r="P57" s="116"/>
      <c r="Q57" s="116"/>
      <c r="R57" s="116"/>
      <c r="S57" s="116"/>
      <c r="T57" s="116"/>
      <c r="U57" s="116"/>
      <c r="V57" s="4" t="s">
        <v>205</v>
      </c>
      <c r="W57" s="116"/>
      <c r="X57" s="116"/>
      <c r="Y57" s="116"/>
      <c r="Z57" s="116"/>
      <c r="AA57" s="116"/>
      <c r="AB57" s="116"/>
    </row>
    <row r="58" spans="2:28" s="7" customFormat="1" ht="15" x14ac:dyDescent="0.25">
      <c r="B58" s="7" t="s">
        <v>944</v>
      </c>
      <c r="C58" s="102">
        <f t="shared" ref="C58:H58" si="19">C56-C57</f>
        <v>1870.2459999999992</v>
      </c>
      <c r="D58" s="102">
        <f t="shared" si="19"/>
        <v>2174.0030000000006</v>
      </c>
      <c r="E58" s="102">
        <f t="shared" si="19"/>
        <v>2067.9470000000001</v>
      </c>
      <c r="F58" s="102">
        <f t="shared" si="19"/>
        <v>2540.2299999999996</v>
      </c>
      <c r="G58" s="102">
        <f t="shared" si="19"/>
        <v>3053.8370000000004</v>
      </c>
      <c r="H58" s="102">
        <f t="shared" si="19"/>
        <v>3388.3849999999993</v>
      </c>
      <c r="I58" s="102">
        <f>I56-I57</f>
        <v>3978.8320000000003</v>
      </c>
      <c r="J58" s="102">
        <f>J56-J57</f>
        <v>4535.893</v>
      </c>
      <c r="V58" s="7" t="s">
        <v>206</v>
      </c>
    </row>
    <row r="59" spans="2:28" s="7" customFormat="1" ht="15" x14ac:dyDescent="0.25">
      <c r="B59" s="7" t="s">
        <v>945</v>
      </c>
      <c r="C59" s="102">
        <f>UFRS!C175/1000000</f>
        <v>1430.6569999999999</v>
      </c>
      <c r="D59" s="102">
        <f>UFRS!D175/1000000</f>
        <v>1479.81</v>
      </c>
      <c r="E59" s="102">
        <f>UFRS!E175/1000000</f>
        <v>1502.3720000000001</v>
      </c>
      <c r="F59" s="102">
        <f>UFRS!F175/1000000</f>
        <v>1881.673</v>
      </c>
      <c r="G59" s="102">
        <f>UFRS!G175/1000000</f>
        <v>2283.826</v>
      </c>
      <c r="H59" s="102">
        <f>UFRS!H175/1000000</f>
        <v>2527.2379999999998</v>
      </c>
      <c r="I59" s="102">
        <f>UFRS!I175/1000000</f>
        <v>2991.0909999999999</v>
      </c>
      <c r="J59" s="102">
        <f>UFRS!J175/1000000</f>
        <v>3449.2550000000001</v>
      </c>
      <c r="V59" s="7" t="s">
        <v>207</v>
      </c>
    </row>
    <row r="60" spans="2:28" s="4" customFormat="1" ht="15" x14ac:dyDescent="0.25">
      <c r="B60" s="4" t="s">
        <v>947</v>
      </c>
      <c r="C60" s="98">
        <f>UFRS!C176/1000000</f>
        <v>54.517000000000003</v>
      </c>
      <c r="D60" s="98">
        <f>UFRS!D176/1000000</f>
        <v>48.48</v>
      </c>
      <c r="E60" s="98">
        <f>UFRS!E176/1000000</f>
        <v>60.52</v>
      </c>
      <c r="F60" s="98">
        <f>UFRS!F176/1000000</f>
        <v>64.846999999999994</v>
      </c>
      <c r="G60" s="98">
        <f>UFRS!G176/1000000</f>
        <v>72.998000000000005</v>
      </c>
      <c r="H60" s="98">
        <f>UFRS!H176/1000000</f>
        <v>83.206999999999994</v>
      </c>
      <c r="I60" s="98">
        <f>UFRS!I176/1000000</f>
        <v>102.05500000000001</v>
      </c>
      <c r="J60" s="98">
        <f>UFRS!J176/1000000</f>
        <v>125.173</v>
      </c>
      <c r="V60" s="4" t="s">
        <v>224</v>
      </c>
    </row>
    <row r="61" spans="2:28" s="4" customFormat="1" ht="15" x14ac:dyDescent="0.25">
      <c r="B61" s="4" t="s">
        <v>948</v>
      </c>
      <c r="C61" s="98">
        <f>UFRS!C177/1000000</f>
        <v>1080.5239999999999</v>
      </c>
      <c r="D61" s="98">
        <f>UFRS!D177/1000000</f>
        <v>1105.7249999999999</v>
      </c>
      <c r="E61" s="98">
        <f>UFRS!E177/1000000</f>
        <v>1161.489</v>
      </c>
      <c r="F61" s="98">
        <f>UFRS!F177/1000000</f>
        <v>1474.2539999999999</v>
      </c>
      <c r="G61" s="98">
        <f>UFRS!G177/1000000</f>
        <v>1820.9</v>
      </c>
      <c r="H61" s="98">
        <f>UFRS!H177/1000000</f>
        <v>2013.0329999999999</v>
      </c>
      <c r="I61" s="98">
        <f>UFRS!I177/1000000</f>
        <v>2356.2469999999998</v>
      </c>
      <c r="J61" s="98">
        <f>UFRS!J177/1000000</f>
        <v>2722.0140000000001</v>
      </c>
      <c r="V61" s="4" t="s">
        <v>225</v>
      </c>
    </row>
    <row r="62" spans="2:28" s="4" customFormat="1" ht="15" x14ac:dyDescent="0.25">
      <c r="B62" s="4" t="s">
        <v>949</v>
      </c>
      <c r="C62" s="98">
        <f>UFRS!C178/1000000</f>
        <v>295.61599999999999</v>
      </c>
      <c r="D62" s="98">
        <f>UFRS!D178/1000000</f>
        <v>325.60500000000002</v>
      </c>
      <c r="E62" s="98">
        <f>UFRS!E178/1000000</f>
        <v>280.363</v>
      </c>
      <c r="F62" s="98">
        <f>UFRS!F178/1000000</f>
        <v>342.572</v>
      </c>
      <c r="G62" s="98">
        <f>UFRS!G178/1000000</f>
        <v>389.928</v>
      </c>
      <c r="H62" s="98">
        <f>UFRS!H178/1000000</f>
        <v>430.99799999999999</v>
      </c>
      <c r="I62" s="98">
        <f>UFRS!I178/1000000</f>
        <v>532.78899999999999</v>
      </c>
      <c r="J62" s="98">
        <f>UFRS!J178/1000000</f>
        <v>602.06799999999998</v>
      </c>
      <c r="V62" s="4" t="s">
        <v>226</v>
      </c>
    </row>
    <row r="63" spans="2:28" s="7" customFormat="1" ht="15" x14ac:dyDescent="0.25">
      <c r="B63" s="117" t="s">
        <v>950</v>
      </c>
      <c r="C63" s="118">
        <f t="shared" ref="C63:H63" si="20">C58-C59</f>
        <v>439.58899999999926</v>
      </c>
      <c r="D63" s="118">
        <f t="shared" si="20"/>
        <v>694.19300000000067</v>
      </c>
      <c r="E63" s="118">
        <f t="shared" si="20"/>
        <v>565.57500000000005</v>
      </c>
      <c r="F63" s="118">
        <f t="shared" si="20"/>
        <v>658.55699999999956</v>
      </c>
      <c r="G63" s="118">
        <f t="shared" si="20"/>
        <v>770.01100000000042</v>
      </c>
      <c r="H63" s="118">
        <f t="shared" si="20"/>
        <v>861.14699999999948</v>
      </c>
      <c r="I63" s="118">
        <f>I58-I59</f>
        <v>987.74100000000044</v>
      </c>
      <c r="J63" s="118">
        <f>J58-J59</f>
        <v>1086.6379999999999</v>
      </c>
      <c r="U63" s="4"/>
      <c r="V63" s="117" t="s">
        <v>208</v>
      </c>
    </row>
    <row r="64" spans="2:28" s="4" customFormat="1" ht="15" x14ac:dyDescent="0.25">
      <c r="B64" s="4" t="s">
        <v>223</v>
      </c>
      <c r="C64" s="107">
        <f>UFRS!C228/1000000</f>
        <v>166.09</v>
      </c>
      <c r="D64" s="107">
        <f>UFRS!D228/1000000</f>
        <v>181.553</v>
      </c>
      <c r="E64" s="107">
        <f>UFRS!E228/1000000</f>
        <v>192.53800000000001</v>
      </c>
      <c r="F64" s="107">
        <f>UFRS!F228/1000000</f>
        <v>217.834</v>
      </c>
      <c r="G64" s="107">
        <f>UFRS!G228/1000000</f>
        <v>260.78800000000001</v>
      </c>
      <c r="H64" s="107">
        <f>UFRS!H228/1000000</f>
        <v>302.18099999999998</v>
      </c>
      <c r="I64" s="107">
        <f>UFRS!I228/1000000</f>
        <v>346.29300000000001</v>
      </c>
      <c r="J64" s="107">
        <f>UFRS!J228/1000000</f>
        <v>369.82299999999998</v>
      </c>
      <c r="V64" s="4" t="s">
        <v>209</v>
      </c>
    </row>
    <row r="65" spans="2:22" s="7" customFormat="1" ht="15" x14ac:dyDescent="0.25">
      <c r="B65" s="117" t="s">
        <v>951</v>
      </c>
      <c r="C65" s="118">
        <f>C63+C64</f>
        <v>605.67899999999929</v>
      </c>
      <c r="D65" s="118">
        <f>D63+D64</f>
        <v>875.74600000000066</v>
      </c>
      <c r="E65" s="118">
        <f t="shared" ref="E65:J65" si="21">E63+E64</f>
        <v>758.11300000000006</v>
      </c>
      <c r="F65" s="118">
        <f t="shared" si="21"/>
        <v>876.39099999999962</v>
      </c>
      <c r="G65" s="118">
        <f t="shared" si="21"/>
        <v>1030.7990000000004</v>
      </c>
      <c r="H65" s="118">
        <f t="shared" si="21"/>
        <v>1163.3279999999995</v>
      </c>
      <c r="I65" s="118">
        <f t="shared" si="21"/>
        <v>1334.0340000000006</v>
      </c>
      <c r="J65" s="118">
        <f t="shared" si="21"/>
        <v>1456.4609999999998</v>
      </c>
      <c r="U65" s="4"/>
      <c r="V65" s="117" t="s">
        <v>229</v>
      </c>
    </row>
    <row r="66" spans="2:22" s="7" customFormat="1" ht="15" x14ac:dyDescent="0.25">
      <c r="B66" s="7" t="s">
        <v>971</v>
      </c>
      <c r="C66" s="119">
        <f>(UFRS!C196+UFRS!C182-UFRS!C183)/1000000</f>
        <v>12.473000000000001</v>
      </c>
      <c r="D66" s="119">
        <f>(UFRS!D196+UFRS!D182-UFRS!D183)/1000000</f>
        <v>5.5670000000000002</v>
      </c>
      <c r="E66" s="119">
        <f>(UFRS!E196+UFRS!E182-UFRS!E183)/1000000</f>
        <v>11.907</v>
      </c>
      <c r="F66" s="119">
        <f>(UFRS!F196+UFRS!F182-UFRS!F183)/1000000</f>
        <v>28.378</v>
      </c>
      <c r="G66" s="119">
        <f>(UFRS!G196+UFRS!G182-UFRS!G183)/1000000</f>
        <v>34.551000000000002</v>
      </c>
      <c r="H66" s="119">
        <f>(UFRS!H196+UFRS!H182-UFRS!H183)/1000000</f>
        <v>33.869</v>
      </c>
      <c r="I66" s="119">
        <f>(UFRS!I196+UFRS!I182-UFRS!I183)/1000000</f>
        <v>33.042999999999999</v>
      </c>
      <c r="J66" s="119">
        <f>(UFRS!J196+UFRS!J182-UFRS!J183)/1000000</f>
        <v>39.478999999999999</v>
      </c>
      <c r="U66" s="4"/>
      <c r="V66" s="7" t="s">
        <v>210</v>
      </c>
    </row>
    <row r="67" spans="2:22" s="4" customFormat="1" ht="15" x14ac:dyDescent="0.25">
      <c r="B67" s="7" t="s">
        <v>952</v>
      </c>
      <c r="C67" s="119">
        <f t="shared" ref="C67:H67" si="22">C68-C69</f>
        <v>-3.8000000000003809E-2</v>
      </c>
      <c r="D67" s="119">
        <f t="shared" si="22"/>
        <v>54.65300000000002</v>
      </c>
      <c r="E67" s="119">
        <f t="shared" si="22"/>
        <v>72.074999999999989</v>
      </c>
      <c r="F67" s="119">
        <f t="shared" si="22"/>
        <v>-12.662999999999997</v>
      </c>
      <c r="G67" s="119">
        <f t="shared" si="22"/>
        <v>-12.873999999999995</v>
      </c>
      <c r="H67" s="119">
        <f t="shared" si="22"/>
        <v>275.19899999999996</v>
      </c>
      <c r="I67" s="119">
        <f>I68-I69</f>
        <v>-18.951999999999998</v>
      </c>
      <c r="J67" s="119">
        <f>J68-J69</f>
        <v>196.11899999999997</v>
      </c>
      <c r="V67" s="7" t="s">
        <v>211</v>
      </c>
    </row>
    <row r="68" spans="2:22" s="54" customFormat="1" ht="15" x14ac:dyDescent="0.25">
      <c r="B68" s="4" t="s">
        <v>954</v>
      </c>
      <c r="C68" s="107">
        <f>UFRS!C185/1000000</f>
        <v>44.933999999999997</v>
      </c>
      <c r="D68" s="107">
        <f>UFRS!D185/1000000</f>
        <v>184.96600000000001</v>
      </c>
      <c r="E68" s="107">
        <f>UFRS!E185/1000000</f>
        <v>130.416</v>
      </c>
      <c r="F68" s="107">
        <f>UFRS!F185/1000000</f>
        <v>60.194000000000003</v>
      </c>
      <c r="G68" s="107">
        <f>UFRS!G185/1000000</f>
        <v>69.706000000000003</v>
      </c>
      <c r="H68" s="107">
        <f>UFRS!H185/1000000</f>
        <v>461.61399999999998</v>
      </c>
      <c r="I68" s="107">
        <f>UFRS!I185/1000000</f>
        <v>216.137</v>
      </c>
      <c r="J68" s="107">
        <f>UFRS!J185/1000000</f>
        <v>471.267</v>
      </c>
      <c r="U68" s="4"/>
      <c r="V68" s="4" t="s">
        <v>212</v>
      </c>
    </row>
    <row r="69" spans="2:22" s="54" customFormat="1" ht="15" x14ac:dyDescent="0.25">
      <c r="B69" s="4" t="s">
        <v>955</v>
      </c>
      <c r="C69" s="107">
        <f>UFRS!C190/1000000</f>
        <v>44.972000000000001</v>
      </c>
      <c r="D69" s="107">
        <f>UFRS!D190/1000000</f>
        <v>130.31299999999999</v>
      </c>
      <c r="E69" s="107">
        <f>UFRS!E190/1000000</f>
        <v>58.341000000000001</v>
      </c>
      <c r="F69" s="107">
        <f>UFRS!F190/1000000</f>
        <v>72.856999999999999</v>
      </c>
      <c r="G69" s="107">
        <f>UFRS!G190/1000000</f>
        <v>82.58</v>
      </c>
      <c r="H69" s="107">
        <f>UFRS!H190/1000000</f>
        <v>186.41499999999999</v>
      </c>
      <c r="I69" s="107">
        <f>UFRS!I190/1000000</f>
        <v>235.089</v>
      </c>
      <c r="J69" s="107">
        <f>UFRS!J190/1000000</f>
        <v>275.14800000000002</v>
      </c>
      <c r="U69" s="4"/>
      <c r="V69" s="4" t="s">
        <v>213</v>
      </c>
    </row>
    <row r="70" spans="2:22" s="4" customFormat="1" ht="15" x14ac:dyDescent="0.25">
      <c r="B70" s="7" t="s">
        <v>953</v>
      </c>
      <c r="C70" s="119">
        <f t="shared" ref="C70" si="23">C71-C72</f>
        <v>0</v>
      </c>
      <c r="D70" s="119">
        <f t="shared" ref="D70:J70" si="24">D71-D72</f>
        <v>0</v>
      </c>
      <c r="E70" s="119">
        <f t="shared" si="24"/>
        <v>0</v>
      </c>
      <c r="F70" s="119">
        <f t="shared" si="24"/>
        <v>0</v>
      </c>
      <c r="G70" s="119">
        <f t="shared" si="24"/>
        <v>0</v>
      </c>
      <c r="H70" s="119">
        <f t="shared" si="24"/>
        <v>0</v>
      </c>
      <c r="I70" s="119">
        <f t="shared" si="24"/>
        <v>0</v>
      </c>
      <c r="J70" s="119">
        <f t="shared" si="24"/>
        <v>0</v>
      </c>
      <c r="V70" s="7" t="s">
        <v>211</v>
      </c>
    </row>
    <row r="71" spans="2:22" s="54" customFormat="1" ht="15" x14ac:dyDescent="0.25">
      <c r="B71" s="4" t="s">
        <v>956</v>
      </c>
      <c r="C71" s="107">
        <f>+UFRS!C199/1000000</f>
        <v>0</v>
      </c>
      <c r="D71" s="107">
        <f>+UFRS!D199/1000000</f>
        <v>0</v>
      </c>
      <c r="E71" s="107">
        <f>+UFRS!E199/1000000</f>
        <v>0</v>
      </c>
      <c r="F71" s="107">
        <f>+UFRS!F199/1000000</f>
        <v>0</v>
      </c>
      <c r="G71" s="107">
        <f>+UFRS!G199/1000000</f>
        <v>0</v>
      </c>
      <c r="H71" s="107">
        <f>+UFRS!H199/1000000</f>
        <v>0</v>
      </c>
      <c r="I71" s="107">
        <f>+UFRS!I199/1000000</f>
        <v>0</v>
      </c>
      <c r="J71" s="107">
        <f>+UFRS!J199/1000000</f>
        <v>0</v>
      </c>
      <c r="U71" s="4"/>
      <c r="V71" s="4" t="s">
        <v>212</v>
      </c>
    </row>
    <row r="72" spans="2:22" s="54" customFormat="1" ht="15" x14ac:dyDescent="0.25">
      <c r="B72" s="4" t="s">
        <v>957</v>
      </c>
      <c r="C72" s="107">
        <f>+UFRS!C203/1000000</f>
        <v>0</v>
      </c>
      <c r="D72" s="107">
        <f>+UFRS!D203/1000000</f>
        <v>0</v>
      </c>
      <c r="E72" s="107">
        <f>+UFRS!E203/1000000</f>
        <v>0</v>
      </c>
      <c r="F72" s="107">
        <f>+UFRS!F203/1000000</f>
        <v>0</v>
      </c>
      <c r="G72" s="107">
        <f>+UFRS!G203/1000000</f>
        <v>0</v>
      </c>
      <c r="H72" s="107">
        <f>+UFRS!H203/1000000</f>
        <v>0</v>
      </c>
      <c r="I72" s="107">
        <f>+UFRS!I203/1000000</f>
        <v>0</v>
      </c>
      <c r="J72" s="107">
        <f>+UFRS!J203/1000000</f>
        <v>0</v>
      </c>
      <c r="U72" s="4"/>
      <c r="V72" s="4" t="s">
        <v>213</v>
      </c>
    </row>
    <row r="73" spans="2:22" s="4" customFormat="1" ht="15" x14ac:dyDescent="0.25">
      <c r="B73" s="7" t="s">
        <v>968</v>
      </c>
      <c r="C73" s="119">
        <f t="shared" ref="C73:H73" si="25">C74-C75</f>
        <v>-422.90300000000013</v>
      </c>
      <c r="D73" s="119">
        <f t="shared" si="25"/>
        <v>-177.97000000000003</v>
      </c>
      <c r="E73" s="119">
        <f t="shared" si="25"/>
        <v>7.0810000000000173</v>
      </c>
      <c r="F73" s="119">
        <f t="shared" si="25"/>
        <v>-58.863</v>
      </c>
      <c r="G73" s="119">
        <f t="shared" si="25"/>
        <v>-162.31599999999997</v>
      </c>
      <c r="H73" s="119">
        <f t="shared" si="25"/>
        <v>-425.43500000000006</v>
      </c>
      <c r="I73" s="119">
        <f>I74-I75</f>
        <v>-270.21000000000004</v>
      </c>
      <c r="J73" s="119">
        <f>J74-J75</f>
        <v>-537.11500000000012</v>
      </c>
      <c r="V73" s="7" t="s">
        <v>214</v>
      </c>
    </row>
    <row r="74" spans="2:22" s="4" customFormat="1" ht="15" x14ac:dyDescent="0.25">
      <c r="B74" s="4" t="s">
        <v>963</v>
      </c>
      <c r="C74" s="107">
        <f>UFRS!C197/1000000</f>
        <v>741.03599999999994</v>
      </c>
      <c r="D74" s="107">
        <f>UFRS!D197/1000000</f>
        <v>402.12400000000002</v>
      </c>
      <c r="E74" s="107">
        <f>UFRS!E197/1000000</f>
        <v>287.04599999999999</v>
      </c>
      <c r="F74" s="107">
        <f>UFRS!F197/1000000</f>
        <v>415.55799999999999</v>
      </c>
      <c r="G74" s="107">
        <f>UFRS!G197/1000000</f>
        <v>336.798</v>
      </c>
      <c r="H74" s="107">
        <f>UFRS!H197/1000000</f>
        <v>429.37599999999998</v>
      </c>
      <c r="I74" s="107">
        <f>UFRS!I197/1000000</f>
        <v>476.12599999999998</v>
      </c>
      <c r="J74" s="107">
        <f>UFRS!J197/1000000</f>
        <v>782.55499999999995</v>
      </c>
      <c r="V74" s="4" t="s">
        <v>215</v>
      </c>
    </row>
    <row r="75" spans="2:22" s="4" customFormat="1" ht="15" x14ac:dyDescent="0.25">
      <c r="B75" s="4" t="s">
        <v>964</v>
      </c>
      <c r="C75" s="107">
        <f>(UFRS!C198+UFRS!C191)/1000000</f>
        <v>1163.9390000000001</v>
      </c>
      <c r="D75" s="107">
        <f>(UFRS!D198+UFRS!D191)/1000000</f>
        <v>580.09400000000005</v>
      </c>
      <c r="E75" s="107">
        <f>(UFRS!E198+UFRS!E191)/1000000</f>
        <v>279.96499999999997</v>
      </c>
      <c r="F75" s="107">
        <f>(UFRS!F198+UFRS!F191)/1000000</f>
        <v>474.42099999999999</v>
      </c>
      <c r="G75" s="107">
        <f>(UFRS!G198+UFRS!G191)/1000000</f>
        <v>499.11399999999998</v>
      </c>
      <c r="H75" s="107">
        <f>(UFRS!H198+UFRS!H191)/1000000</f>
        <v>854.81100000000004</v>
      </c>
      <c r="I75" s="107">
        <f>(UFRS!I198+UFRS!I191)/1000000</f>
        <v>746.33600000000001</v>
      </c>
      <c r="J75" s="107">
        <f>(UFRS!J198+UFRS!J191)/1000000</f>
        <v>1319.67</v>
      </c>
      <c r="V75" s="4" t="s">
        <v>216</v>
      </c>
    </row>
    <row r="76" spans="2:22" s="7" customFormat="1" ht="15" x14ac:dyDescent="0.25">
      <c r="B76" s="7" t="s">
        <v>965</v>
      </c>
      <c r="C76" s="102">
        <f>C63+C67+C73+C66+C70</f>
        <v>29.120999999999114</v>
      </c>
      <c r="D76" s="102">
        <f t="shared" ref="D76:J76" si="26">D63+D67+D73+D66+D70</f>
        <v>576.44300000000067</v>
      </c>
      <c r="E76" s="102">
        <f t="shared" si="26"/>
        <v>656.63800000000015</v>
      </c>
      <c r="F76" s="102">
        <f t="shared" si="26"/>
        <v>615.40899999999954</v>
      </c>
      <c r="G76" s="102">
        <f t="shared" si="26"/>
        <v>629.37200000000041</v>
      </c>
      <c r="H76" s="102">
        <f t="shared" si="26"/>
        <v>744.77999999999952</v>
      </c>
      <c r="I76" s="102">
        <f t="shared" si="26"/>
        <v>731.62200000000041</v>
      </c>
      <c r="J76" s="102">
        <f t="shared" si="26"/>
        <v>785.12099999999975</v>
      </c>
      <c r="V76" s="7" t="s">
        <v>227</v>
      </c>
    </row>
    <row r="77" spans="2:22" s="4" customFormat="1" ht="15" x14ac:dyDescent="0.25">
      <c r="B77" s="4" t="s">
        <v>966</v>
      </c>
      <c r="C77" s="107">
        <f>UFRS!C215/1000000</f>
        <v>22.565000000000001</v>
      </c>
      <c r="D77" s="107">
        <f>UFRS!D215/1000000</f>
        <v>73.417000000000002</v>
      </c>
      <c r="E77" s="107">
        <f>UFRS!E215/1000000</f>
        <v>107.39100000000001</v>
      </c>
      <c r="F77" s="107">
        <f>UFRS!F215/1000000</f>
        <v>74.322000000000003</v>
      </c>
      <c r="G77" s="107">
        <f>UFRS!G215/1000000</f>
        <v>77.683999999999997</v>
      </c>
      <c r="H77" s="107">
        <f>UFRS!H215/1000000</f>
        <v>122.08499999999999</v>
      </c>
      <c r="I77" s="107">
        <f>UFRS!I215/1000000</f>
        <v>93.644000000000005</v>
      </c>
      <c r="J77" s="107">
        <f>UFRS!J215/1000000</f>
        <v>-107.872</v>
      </c>
      <c r="V77" s="4" t="s">
        <v>228</v>
      </c>
    </row>
    <row r="78" spans="2:22" s="7" customFormat="1" ht="15" x14ac:dyDescent="0.25">
      <c r="B78" s="117" t="s">
        <v>967</v>
      </c>
      <c r="C78" s="118">
        <f>C76-C77</f>
        <v>6.5559999999991128</v>
      </c>
      <c r="D78" s="118">
        <f t="shared" ref="D78:J78" si="27">D76-D77</f>
        <v>503.02600000000064</v>
      </c>
      <c r="E78" s="118">
        <f t="shared" si="27"/>
        <v>549.24700000000018</v>
      </c>
      <c r="F78" s="118">
        <f t="shared" si="27"/>
        <v>541.08699999999953</v>
      </c>
      <c r="G78" s="118">
        <f t="shared" si="27"/>
        <v>551.68800000000044</v>
      </c>
      <c r="H78" s="118">
        <f t="shared" si="27"/>
        <v>622.69499999999948</v>
      </c>
      <c r="I78" s="118">
        <f t="shared" si="27"/>
        <v>637.97800000000041</v>
      </c>
      <c r="J78" s="118">
        <f t="shared" si="27"/>
        <v>892.99299999999971</v>
      </c>
      <c r="V78" s="117" t="s">
        <v>217</v>
      </c>
    </row>
    <row r="79" spans="2:22" s="4" customFormat="1" ht="15" x14ac:dyDescent="0.25">
      <c r="B79" s="4" t="s">
        <v>90</v>
      </c>
      <c r="C79" s="107">
        <f>UFRS!C225/1000000</f>
        <v>-33.238</v>
      </c>
      <c r="D79" s="107">
        <f>UFRS!D225/1000000</f>
        <v>17.616</v>
      </c>
      <c r="E79" s="107">
        <f>UFRS!E225/1000000</f>
        <v>32.154000000000003</v>
      </c>
      <c r="F79" s="107">
        <f>UFRS!F225/1000000</f>
        <v>34.581000000000003</v>
      </c>
      <c r="G79" s="107">
        <f>UFRS!G225/1000000</f>
        <v>26.923999999999999</v>
      </c>
      <c r="H79" s="107">
        <f>UFRS!H225/1000000</f>
        <v>24.85</v>
      </c>
      <c r="I79" s="107">
        <f>UFRS!I225/1000000</f>
        <v>20.893999999999998</v>
      </c>
      <c r="J79" s="107">
        <f>UFRS!J225/1000000</f>
        <v>1.8520000000000001</v>
      </c>
      <c r="V79" s="4" t="s">
        <v>202</v>
      </c>
    </row>
    <row r="80" spans="2:22" s="7" customFormat="1" ht="15.75" thickBot="1" x14ac:dyDescent="0.3">
      <c r="B80" s="120" t="s">
        <v>91</v>
      </c>
      <c r="C80" s="97">
        <f t="shared" ref="C80:H80" si="28">C78-C79</f>
        <v>39.793999999999116</v>
      </c>
      <c r="D80" s="97">
        <f t="shared" si="28"/>
        <v>485.41000000000065</v>
      </c>
      <c r="E80" s="97">
        <f t="shared" si="28"/>
        <v>517.09300000000019</v>
      </c>
      <c r="F80" s="97">
        <f t="shared" si="28"/>
        <v>506.50599999999952</v>
      </c>
      <c r="G80" s="97">
        <f t="shared" si="28"/>
        <v>524.76400000000046</v>
      </c>
      <c r="H80" s="97">
        <f t="shared" si="28"/>
        <v>597.84499999999946</v>
      </c>
      <c r="I80" s="97">
        <f>I78-I79</f>
        <v>617.0840000000004</v>
      </c>
      <c r="J80" s="97">
        <f>J78-J79</f>
        <v>891.14099999999974</v>
      </c>
      <c r="V80" s="120" t="s">
        <v>218</v>
      </c>
    </row>
    <row r="81" spans="2:22" s="4" customFormat="1" ht="15" x14ac:dyDescent="0.25">
      <c r="C81" s="6"/>
      <c r="D81" s="6"/>
      <c r="E81" s="6"/>
      <c r="F81" s="6"/>
      <c r="G81" s="6"/>
      <c r="H81" s="6"/>
      <c r="I81" s="6"/>
      <c r="J81" s="6"/>
    </row>
    <row r="82" spans="2:22" x14ac:dyDescent="0.25">
      <c r="B82" s="1" t="s">
        <v>851</v>
      </c>
      <c r="C82" s="101">
        <f t="shared" ref="C82:J82" si="29">+SUM(C46:C47)</f>
        <v>740.495</v>
      </c>
      <c r="D82" s="101">
        <f t="shared" si="29"/>
        <v>1235.998</v>
      </c>
      <c r="E82" s="101">
        <f t="shared" si="29"/>
        <v>1654.5700000000002</v>
      </c>
      <c r="F82" s="101">
        <f t="shared" si="29"/>
        <v>1912.7370000000001</v>
      </c>
      <c r="G82" s="101">
        <f t="shared" si="29"/>
        <v>2139.1489999999999</v>
      </c>
      <c r="H82" s="101">
        <f t="shared" si="29"/>
        <v>2164.953</v>
      </c>
      <c r="I82" s="101">
        <f t="shared" si="29"/>
        <v>2438.8379999999997</v>
      </c>
      <c r="J82" s="101">
        <f t="shared" si="29"/>
        <v>2737.0169999999998</v>
      </c>
      <c r="V82" s="1" t="s">
        <v>851</v>
      </c>
    </row>
    <row r="84" spans="2:22" s="116" customFormat="1" ht="15" x14ac:dyDescent="0.25">
      <c r="B84" s="114" t="s">
        <v>961</v>
      </c>
      <c r="C84" s="115">
        <f t="shared" ref="C84:J84" si="30">C49-C23</f>
        <v>0</v>
      </c>
      <c r="D84" s="115">
        <f t="shared" si="30"/>
        <v>0</v>
      </c>
      <c r="E84" s="115">
        <f t="shared" si="30"/>
        <v>0</v>
      </c>
      <c r="F84" s="115">
        <f t="shared" si="30"/>
        <v>0</v>
      </c>
      <c r="G84" s="115">
        <f t="shared" si="30"/>
        <v>0</v>
      </c>
      <c r="H84" s="115">
        <f t="shared" si="30"/>
        <v>0</v>
      </c>
      <c r="I84" s="115">
        <f t="shared" si="30"/>
        <v>0</v>
      </c>
      <c r="J84" s="115">
        <f t="shared" si="30"/>
        <v>0</v>
      </c>
      <c r="V84" s="114" t="s">
        <v>221</v>
      </c>
    </row>
    <row r="85" spans="2:22" ht="15" x14ac:dyDescent="0.25">
      <c r="B85" s="114" t="s">
        <v>962</v>
      </c>
      <c r="C85" s="115">
        <f t="shared" ref="C85:I85" si="31">+C80-C46</f>
        <v>-8.8107299234252423E-13</v>
      </c>
      <c r="D85" s="115">
        <f t="shared" si="31"/>
        <v>6.2527760746888816E-13</v>
      </c>
      <c r="E85" s="115">
        <f t="shared" si="31"/>
        <v>0</v>
      </c>
      <c r="F85" s="115">
        <f t="shared" si="31"/>
        <v>-4.5474735088646412E-13</v>
      </c>
      <c r="G85" s="115">
        <f t="shared" si="31"/>
        <v>0</v>
      </c>
      <c r="H85" s="115">
        <f t="shared" si="31"/>
        <v>0</v>
      </c>
      <c r="I85" s="115">
        <f t="shared" si="31"/>
        <v>0</v>
      </c>
      <c r="J85" s="115">
        <f>+J80-J46</f>
        <v>0</v>
      </c>
    </row>
    <row r="89" spans="2:22" ht="21" x14ac:dyDescent="0.45">
      <c r="B89" s="2062" t="s">
        <v>979</v>
      </c>
      <c r="C89" s="2059" t="s">
        <v>942</v>
      </c>
      <c r="D89" s="2059"/>
      <c r="E89" s="2059"/>
      <c r="F89" s="2059"/>
      <c r="G89" s="2059"/>
      <c r="H89" s="2059"/>
      <c r="I89" s="2059"/>
      <c r="J89" s="2059"/>
    </row>
    <row r="90" spans="2:22" ht="15.75" thickBot="1" x14ac:dyDescent="0.3">
      <c r="B90" s="2063"/>
      <c r="C90" s="1184" t="str">
        <f>+C3</f>
        <v>2008/12</v>
      </c>
      <c r="D90" s="1184" t="str">
        <f t="shared" ref="D90:J90" si="32">+D3</f>
        <v>2009/12</v>
      </c>
      <c r="E90" s="1184" t="str">
        <f t="shared" si="32"/>
        <v>2010/12</v>
      </c>
      <c r="F90" s="1184" t="str">
        <f t="shared" si="32"/>
        <v>2011/12</v>
      </c>
      <c r="G90" s="1184" t="str">
        <f t="shared" si="32"/>
        <v>2012/12</v>
      </c>
      <c r="H90" s="1184" t="str">
        <f t="shared" si="32"/>
        <v>2013/12</v>
      </c>
      <c r="I90" s="1184" t="str">
        <f t="shared" si="32"/>
        <v>2014/12</v>
      </c>
      <c r="J90" s="1184" t="str">
        <f t="shared" si="32"/>
        <v>2015/12</v>
      </c>
    </row>
    <row r="91" spans="2:22" s="4" customFormat="1" ht="15" x14ac:dyDescent="0.25">
      <c r="B91" s="4" t="s">
        <v>44</v>
      </c>
      <c r="C91" s="98">
        <f>+C7</f>
        <v>2644.9270000000001</v>
      </c>
      <c r="D91" s="98">
        <f t="shared" ref="D91:J91" si="33">+D7</f>
        <v>2233.011</v>
      </c>
      <c r="E91" s="98">
        <f t="shared" si="33"/>
        <v>2324.578</v>
      </c>
      <c r="F91" s="98">
        <f t="shared" si="33"/>
        <v>3180.87</v>
      </c>
      <c r="G91" s="98">
        <f t="shared" si="33"/>
        <v>3261.4769999999999</v>
      </c>
      <c r="H91" s="98">
        <f t="shared" si="33"/>
        <v>4182.1400000000003</v>
      </c>
      <c r="I91" s="98">
        <f t="shared" si="33"/>
        <v>4433.8980000000001</v>
      </c>
      <c r="J91" s="98">
        <f t="shared" si="33"/>
        <v>4790.5249999999996</v>
      </c>
      <c r="L91" s="1213">
        <f t="shared" ref="L91" si="34">+C91-D91</f>
        <v>411.91600000000017</v>
      </c>
      <c r="M91" s="1214">
        <f t="shared" ref="M91" si="35">+D91-E91</f>
        <v>-91.567000000000007</v>
      </c>
      <c r="N91" s="1214">
        <f t="shared" ref="N91" si="36">+E91-F91</f>
        <v>-856.29199999999992</v>
      </c>
      <c r="O91" s="1214">
        <f t="shared" ref="O91" si="37">+F91-G91</f>
        <v>-80.606999999999971</v>
      </c>
      <c r="P91" s="1214">
        <f t="shared" ref="P91" si="38">+G91-H91</f>
        <v>-920.66300000000047</v>
      </c>
      <c r="Q91" s="1214">
        <f t="shared" ref="Q91" si="39">+H91-I91</f>
        <v>-251.75799999999981</v>
      </c>
      <c r="R91" s="1215">
        <f t="shared" ref="R91" si="40">+I91-J91</f>
        <v>-356.6269999999995</v>
      </c>
    </row>
    <row r="92" spans="2:22" s="4" customFormat="1" ht="15" x14ac:dyDescent="0.25">
      <c r="B92" s="4" t="s">
        <v>93</v>
      </c>
      <c r="C92" s="98">
        <f t="shared" ref="C92:J95" si="41">+C8</f>
        <v>0</v>
      </c>
      <c r="D92" s="98">
        <f t="shared" si="41"/>
        <v>0</v>
      </c>
      <c r="E92" s="98">
        <f t="shared" si="41"/>
        <v>0</v>
      </c>
      <c r="F92" s="98">
        <f t="shared" si="41"/>
        <v>0</v>
      </c>
      <c r="G92" s="98">
        <f t="shared" si="41"/>
        <v>0</v>
      </c>
      <c r="H92" s="98">
        <f t="shared" si="41"/>
        <v>0</v>
      </c>
      <c r="I92" s="98">
        <f t="shared" si="41"/>
        <v>0</v>
      </c>
      <c r="J92" s="98">
        <f t="shared" si="41"/>
        <v>0</v>
      </c>
      <c r="L92" s="1216">
        <f t="shared" ref="L92:L111" si="42">+C92-D92</f>
        <v>0</v>
      </c>
      <c r="M92" s="862">
        <f t="shared" ref="M92:M111" si="43">+D92-E92</f>
        <v>0</v>
      </c>
      <c r="N92" s="862">
        <f t="shared" ref="N92:N111" si="44">+E92-F92</f>
        <v>0</v>
      </c>
      <c r="O92" s="862">
        <f t="shared" ref="O92:O111" si="45">+F92-G92</f>
        <v>0</v>
      </c>
      <c r="P92" s="862">
        <f t="shared" ref="P92:P111" si="46">+G92-H92</f>
        <v>0</v>
      </c>
      <c r="Q92" s="862">
        <f t="shared" ref="Q92:Q111" si="47">+H92-I92</f>
        <v>0</v>
      </c>
      <c r="R92" s="1217">
        <f t="shared" ref="R92:R111" si="48">+I92-J92</f>
        <v>0</v>
      </c>
    </row>
    <row r="93" spans="2:22" s="4" customFormat="1" ht="15" x14ac:dyDescent="0.25">
      <c r="B93" s="4" t="s">
        <v>4</v>
      </c>
      <c r="C93" s="98">
        <f t="shared" si="41"/>
        <v>1303.931</v>
      </c>
      <c r="D93" s="98">
        <f t="shared" si="41"/>
        <v>906.78599999999994</v>
      </c>
      <c r="E93" s="98">
        <f t="shared" si="41"/>
        <v>987.52599999999995</v>
      </c>
      <c r="F93" s="98">
        <f t="shared" si="41"/>
        <v>1530.1410000000001</v>
      </c>
      <c r="G93" s="98">
        <f t="shared" si="41"/>
        <v>1599.6579999999999</v>
      </c>
      <c r="H93" s="98">
        <f t="shared" si="41"/>
        <v>1988.373</v>
      </c>
      <c r="I93" s="98">
        <f t="shared" si="41"/>
        <v>2124.9459999999999</v>
      </c>
      <c r="J93" s="98">
        <f t="shared" si="41"/>
        <v>2140.0569999999998</v>
      </c>
      <c r="L93" s="1216">
        <f t="shared" si="42"/>
        <v>397.1450000000001</v>
      </c>
      <c r="M93" s="862">
        <f t="shared" si="43"/>
        <v>-80.740000000000009</v>
      </c>
      <c r="N93" s="862">
        <f t="shared" si="44"/>
        <v>-542.61500000000012</v>
      </c>
      <c r="O93" s="862">
        <f t="shared" si="45"/>
        <v>-69.516999999999825</v>
      </c>
      <c r="P93" s="862">
        <f t="shared" si="46"/>
        <v>-388.71500000000015</v>
      </c>
      <c r="Q93" s="862">
        <f t="shared" si="47"/>
        <v>-136.57299999999987</v>
      </c>
      <c r="R93" s="1217">
        <f t="shared" si="48"/>
        <v>-15.110999999999876</v>
      </c>
    </row>
    <row r="94" spans="2:22" s="4" customFormat="1" ht="15" x14ac:dyDescent="0.25">
      <c r="B94" s="4" t="s">
        <v>871</v>
      </c>
      <c r="C94" s="98">
        <f t="shared" si="41"/>
        <v>0</v>
      </c>
      <c r="D94" s="98">
        <f t="shared" si="41"/>
        <v>0</v>
      </c>
      <c r="E94" s="98">
        <f t="shared" si="41"/>
        <v>0</v>
      </c>
      <c r="F94" s="98">
        <f t="shared" si="41"/>
        <v>0</v>
      </c>
      <c r="G94" s="98">
        <f t="shared" si="41"/>
        <v>0</v>
      </c>
      <c r="H94" s="98">
        <f t="shared" si="41"/>
        <v>0</v>
      </c>
      <c r="I94" s="98">
        <f t="shared" si="41"/>
        <v>0</v>
      </c>
      <c r="J94" s="98">
        <f t="shared" si="41"/>
        <v>0</v>
      </c>
      <c r="L94" s="1216">
        <f t="shared" si="42"/>
        <v>0</v>
      </c>
      <c r="M94" s="862">
        <f t="shared" si="43"/>
        <v>0</v>
      </c>
      <c r="N94" s="862">
        <f t="shared" si="44"/>
        <v>0</v>
      </c>
      <c r="O94" s="862">
        <f t="shared" si="45"/>
        <v>0</v>
      </c>
      <c r="P94" s="862">
        <f t="shared" si="46"/>
        <v>0</v>
      </c>
      <c r="Q94" s="862">
        <f t="shared" si="47"/>
        <v>0</v>
      </c>
      <c r="R94" s="1217">
        <f t="shared" si="48"/>
        <v>0</v>
      </c>
    </row>
    <row r="95" spans="2:22" s="4" customFormat="1" ht="15" x14ac:dyDescent="0.25">
      <c r="B95" s="99" t="s">
        <v>94</v>
      </c>
      <c r="C95" s="98">
        <f t="shared" si="41"/>
        <v>0</v>
      </c>
      <c r="D95" s="98">
        <f t="shared" si="41"/>
        <v>0</v>
      </c>
      <c r="E95" s="98">
        <f t="shared" si="41"/>
        <v>0</v>
      </c>
      <c r="F95" s="98">
        <f t="shared" si="41"/>
        <v>0</v>
      </c>
      <c r="G95" s="98">
        <f t="shared" si="41"/>
        <v>0</v>
      </c>
      <c r="H95" s="98">
        <f t="shared" si="41"/>
        <v>0</v>
      </c>
      <c r="I95" s="98">
        <f t="shared" si="41"/>
        <v>0</v>
      </c>
      <c r="J95" s="98">
        <f t="shared" si="41"/>
        <v>0</v>
      </c>
      <c r="L95" s="1216">
        <f t="shared" si="42"/>
        <v>0</v>
      </c>
      <c r="M95" s="862">
        <f t="shared" si="43"/>
        <v>0</v>
      </c>
      <c r="N95" s="862">
        <f t="shared" si="44"/>
        <v>0</v>
      </c>
      <c r="O95" s="862">
        <f t="shared" si="45"/>
        <v>0</v>
      </c>
      <c r="P95" s="862">
        <f t="shared" si="46"/>
        <v>0</v>
      </c>
      <c r="Q95" s="862">
        <f t="shared" si="47"/>
        <v>0</v>
      </c>
      <c r="R95" s="1217">
        <f t="shared" si="48"/>
        <v>0</v>
      </c>
    </row>
    <row r="96" spans="2:22" s="4" customFormat="1" ht="15" x14ac:dyDescent="0.25">
      <c r="B96" s="4" t="s">
        <v>6</v>
      </c>
      <c r="C96" s="98">
        <f>+C14</f>
        <v>9.06</v>
      </c>
      <c r="D96" s="98">
        <f t="shared" ref="D96:J97" si="49">+D14</f>
        <v>4.2539999999999996</v>
      </c>
      <c r="E96" s="98">
        <f t="shared" si="49"/>
        <v>12.461</v>
      </c>
      <c r="F96" s="98">
        <f t="shared" si="49"/>
        <v>16.018000000000001</v>
      </c>
      <c r="G96" s="98">
        <f t="shared" si="49"/>
        <v>10.968999999999999</v>
      </c>
      <c r="H96" s="98">
        <f t="shared" si="49"/>
        <v>27.456</v>
      </c>
      <c r="I96" s="98">
        <f t="shared" si="49"/>
        <v>24.422999999999998</v>
      </c>
      <c r="J96" s="98">
        <f t="shared" si="49"/>
        <v>13.205</v>
      </c>
      <c r="L96" s="1216">
        <f t="shared" si="42"/>
        <v>4.8060000000000009</v>
      </c>
      <c r="M96" s="862">
        <f t="shared" si="43"/>
        <v>-8.2070000000000007</v>
      </c>
      <c r="N96" s="862">
        <f t="shared" si="44"/>
        <v>-3.5570000000000004</v>
      </c>
      <c r="O96" s="862">
        <f t="shared" si="45"/>
        <v>5.0490000000000013</v>
      </c>
      <c r="P96" s="862">
        <f t="shared" si="46"/>
        <v>-16.487000000000002</v>
      </c>
      <c r="Q96" s="862">
        <f t="shared" si="47"/>
        <v>3.0330000000000013</v>
      </c>
      <c r="R96" s="1217">
        <f t="shared" si="48"/>
        <v>11.217999999999998</v>
      </c>
    </row>
    <row r="97" spans="2:18" s="105" customFormat="1" ht="15" x14ac:dyDescent="0.25">
      <c r="B97" s="105" t="s">
        <v>95</v>
      </c>
      <c r="C97" s="98">
        <f>+C15</f>
        <v>0</v>
      </c>
      <c r="D97" s="98">
        <f t="shared" si="49"/>
        <v>0</v>
      </c>
      <c r="E97" s="98">
        <f t="shared" si="49"/>
        <v>0</v>
      </c>
      <c r="F97" s="98">
        <f t="shared" si="49"/>
        <v>0</v>
      </c>
      <c r="G97" s="98">
        <f t="shared" si="49"/>
        <v>0</v>
      </c>
      <c r="H97" s="98">
        <f t="shared" si="49"/>
        <v>0</v>
      </c>
      <c r="I97" s="98">
        <f t="shared" si="49"/>
        <v>0</v>
      </c>
      <c r="J97" s="98">
        <f t="shared" si="49"/>
        <v>0</v>
      </c>
      <c r="L97" s="1216">
        <f t="shared" si="42"/>
        <v>0</v>
      </c>
      <c r="M97" s="862">
        <f t="shared" si="43"/>
        <v>0</v>
      </c>
      <c r="N97" s="862">
        <f t="shared" si="44"/>
        <v>0</v>
      </c>
      <c r="O97" s="862">
        <f t="shared" si="45"/>
        <v>0</v>
      </c>
      <c r="P97" s="862">
        <f t="shared" si="46"/>
        <v>0</v>
      </c>
      <c r="Q97" s="862">
        <f t="shared" si="47"/>
        <v>0</v>
      </c>
      <c r="R97" s="1217">
        <f t="shared" si="48"/>
        <v>0</v>
      </c>
    </row>
    <row r="98" spans="2:18" s="105" customFormat="1" ht="15" x14ac:dyDescent="0.25">
      <c r="B98" s="105" t="s">
        <v>871</v>
      </c>
      <c r="C98" s="108">
        <f>+C20</f>
        <v>0</v>
      </c>
      <c r="D98" s="108">
        <f t="shared" ref="D98:J98" si="50">+D20</f>
        <v>0</v>
      </c>
      <c r="E98" s="108">
        <f t="shared" si="50"/>
        <v>0</v>
      </c>
      <c r="F98" s="108">
        <f t="shared" si="50"/>
        <v>0</v>
      </c>
      <c r="G98" s="108">
        <f t="shared" si="50"/>
        <v>0</v>
      </c>
      <c r="H98" s="108">
        <f t="shared" si="50"/>
        <v>0</v>
      </c>
      <c r="I98" s="108">
        <f t="shared" si="50"/>
        <v>0</v>
      </c>
      <c r="J98" s="108">
        <f t="shared" si="50"/>
        <v>0</v>
      </c>
      <c r="L98" s="1216">
        <f t="shared" si="42"/>
        <v>0</v>
      </c>
      <c r="M98" s="862">
        <f t="shared" si="43"/>
        <v>0</v>
      </c>
      <c r="N98" s="862">
        <f t="shared" si="44"/>
        <v>0</v>
      </c>
      <c r="O98" s="862">
        <f t="shared" si="45"/>
        <v>0</v>
      </c>
      <c r="P98" s="862">
        <f t="shared" si="46"/>
        <v>0</v>
      </c>
      <c r="Q98" s="862">
        <f t="shared" si="47"/>
        <v>0</v>
      </c>
      <c r="R98" s="1217">
        <f t="shared" si="48"/>
        <v>0</v>
      </c>
    </row>
    <row r="99" spans="2:18" s="4" customFormat="1" ht="15" x14ac:dyDescent="0.25">
      <c r="B99" s="4" t="s">
        <v>11</v>
      </c>
      <c r="C99" s="107">
        <f t="shared" ref="C99:J102" si="51">+C27</f>
        <v>705.327</v>
      </c>
      <c r="D99" s="107">
        <f t="shared" si="51"/>
        <v>762.40200000000004</v>
      </c>
      <c r="E99" s="107">
        <f t="shared" si="51"/>
        <v>968.96199999999999</v>
      </c>
      <c r="F99" s="107">
        <f t="shared" si="51"/>
        <v>1249.5309999999999</v>
      </c>
      <c r="G99" s="107">
        <f t="shared" si="51"/>
        <v>1175.8040000000001</v>
      </c>
      <c r="H99" s="107">
        <f t="shared" si="51"/>
        <v>1644.9</v>
      </c>
      <c r="I99" s="107">
        <f t="shared" si="51"/>
        <v>1781.442</v>
      </c>
      <c r="J99" s="107">
        <f t="shared" si="51"/>
        <v>2090.3939999999998</v>
      </c>
      <c r="L99" s="1216">
        <f t="shared" si="42"/>
        <v>-57.075000000000045</v>
      </c>
      <c r="M99" s="862">
        <f t="shared" si="43"/>
        <v>-206.55999999999995</v>
      </c>
      <c r="N99" s="862">
        <f t="shared" si="44"/>
        <v>-280.56899999999996</v>
      </c>
      <c r="O99" s="862">
        <f t="shared" si="45"/>
        <v>73.726999999999862</v>
      </c>
      <c r="P99" s="862">
        <f t="shared" si="46"/>
        <v>-469.096</v>
      </c>
      <c r="Q99" s="862">
        <f t="shared" si="47"/>
        <v>-136.54199999999992</v>
      </c>
      <c r="R99" s="1217">
        <f t="shared" si="48"/>
        <v>-308.95199999999977</v>
      </c>
    </row>
    <row r="100" spans="2:18" s="4" customFormat="1" ht="15" x14ac:dyDescent="0.25">
      <c r="B100" s="4" t="s">
        <v>99</v>
      </c>
      <c r="C100" s="107">
        <f t="shared" si="51"/>
        <v>83.834999999999994</v>
      </c>
      <c r="D100" s="107">
        <f t="shared" si="51"/>
        <v>104.533</v>
      </c>
      <c r="E100" s="107">
        <f t="shared" si="51"/>
        <v>129.53</v>
      </c>
      <c r="F100" s="107">
        <f t="shared" si="51"/>
        <v>183.691</v>
      </c>
      <c r="G100" s="107">
        <f t="shared" si="51"/>
        <v>164.98400000000001</v>
      </c>
      <c r="H100" s="107">
        <f t="shared" si="51"/>
        <v>105.386</v>
      </c>
      <c r="I100" s="107">
        <f t="shared" si="51"/>
        <v>124.91800000000001</v>
      </c>
      <c r="J100" s="107">
        <f t="shared" si="51"/>
        <v>168.51900000000001</v>
      </c>
      <c r="L100" s="1216">
        <f t="shared" si="42"/>
        <v>-20.698000000000008</v>
      </c>
      <c r="M100" s="862">
        <f t="shared" si="43"/>
        <v>-24.997</v>
      </c>
      <c r="N100" s="862">
        <f t="shared" si="44"/>
        <v>-54.161000000000001</v>
      </c>
      <c r="O100" s="862">
        <f t="shared" si="45"/>
        <v>18.706999999999994</v>
      </c>
      <c r="P100" s="862">
        <f t="shared" si="46"/>
        <v>59.598000000000013</v>
      </c>
      <c r="Q100" s="862">
        <f t="shared" si="47"/>
        <v>-19.532000000000011</v>
      </c>
      <c r="R100" s="1217">
        <f t="shared" si="48"/>
        <v>-43.600999999999999</v>
      </c>
    </row>
    <row r="101" spans="2:18" s="4" customFormat="1" ht="15" x14ac:dyDescent="0.25">
      <c r="B101" s="4" t="s">
        <v>705</v>
      </c>
      <c r="C101" s="107">
        <f t="shared" si="51"/>
        <v>0</v>
      </c>
      <c r="D101" s="107">
        <f t="shared" si="51"/>
        <v>0</v>
      </c>
      <c r="E101" s="107">
        <f t="shared" si="51"/>
        <v>0</v>
      </c>
      <c r="F101" s="107">
        <f t="shared" si="51"/>
        <v>0</v>
      </c>
      <c r="G101" s="107">
        <f t="shared" si="51"/>
        <v>0</v>
      </c>
      <c r="H101" s="107">
        <f t="shared" si="51"/>
        <v>0</v>
      </c>
      <c r="I101" s="107">
        <f t="shared" si="51"/>
        <v>0</v>
      </c>
      <c r="J101" s="107">
        <f t="shared" si="51"/>
        <v>0</v>
      </c>
      <c r="L101" s="1216">
        <f t="shared" si="42"/>
        <v>0</v>
      </c>
      <c r="M101" s="862">
        <f t="shared" si="43"/>
        <v>0</v>
      </c>
      <c r="N101" s="862">
        <f t="shared" si="44"/>
        <v>0</v>
      </c>
      <c r="O101" s="862">
        <f t="shared" si="45"/>
        <v>0</v>
      </c>
      <c r="P101" s="862">
        <f t="shared" si="46"/>
        <v>0</v>
      </c>
      <c r="Q101" s="862">
        <f t="shared" si="47"/>
        <v>0</v>
      </c>
      <c r="R101" s="1217">
        <f t="shared" si="48"/>
        <v>0</v>
      </c>
    </row>
    <row r="102" spans="2:18" s="4" customFormat="1" ht="15" x14ac:dyDescent="0.25">
      <c r="B102" s="4" t="s">
        <v>819</v>
      </c>
      <c r="C102" s="107">
        <f t="shared" si="51"/>
        <v>198.29400000000001</v>
      </c>
      <c r="D102" s="107">
        <f t="shared" si="51"/>
        <v>204.65899999999999</v>
      </c>
      <c r="E102" s="107">
        <f t="shared" si="51"/>
        <v>205.16</v>
      </c>
      <c r="F102" s="107">
        <f t="shared" si="51"/>
        <v>232.39</v>
      </c>
      <c r="G102" s="107">
        <f t="shared" si="51"/>
        <v>233.37700000000001</v>
      </c>
      <c r="H102" s="107">
        <f t="shared" si="51"/>
        <v>258.548</v>
      </c>
      <c r="I102" s="107">
        <f t="shared" si="51"/>
        <v>263.99200000000002</v>
      </c>
      <c r="J102" s="107">
        <f t="shared" si="51"/>
        <v>334.536</v>
      </c>
      <c r="L102" s="1216">
        <f t="shared" si="42"/>
        <v>-6.3649999999999807</v>
      </c>
      <c r="M102" s="862">
        <f t="shared" si="43"/>
        <v>-0.50100000000000477</v>
      </c>
      <c r="N102" s="862">
        <f t="shared" si="44"/>
        <v>-27.22999999999999</v>
      </c>
      <c r="O102" s="862">
        <f t="shared" si="45"/>
        <v>-0.98700000000002319</v>
      </c>
      <c r="P102" s="862">
        <f t="shared" si="46"/>
        <v>-25.170999999999992</v>
      </c>
      <c r="Q102" s="862">
        <f t="shared" si="47"/>
        <v>-5.4440000000000168</v>
      </c>
      <c r="R102" s="1217">
        <f t="shared" si="48"/>
        <v>-70.543999999999983</v>
      </c>
    </row>
    <row r="103" spans="2:18" s="4" customFormat="1" ht="15" x14ac:dyDescent="0.25">
      <c r="B103" s="4" t="s">
        <v>102</v>
      </c>
      <c r="C103" s="107">
        <f t="shared" ref="C103:J103" si="52">+C32</f>
        <v>153.56200000000035</v>
      </c>
      <c r="D103" s="107">
        <f t="shared" si="52"/>
        <v>183.64399999999978</v>
      </c>
      <c r="E103" s="107">
        <f t="shared" si="52"/>
        <v>198.87800000000016</v>
      </c>
      <c r="F103" s="107">
        <f t="shared" si="52"/>
        <v>235.87000000000035</v>
      </c>
      <c r="G103" s="107">
        <f t="shared" si="52"/>
        <v>227.51100000000042</v>
      </c>
      <c r="H103" s="107">
        <f t="shared" si="52"/>
        <v>394.43299999999999</v>
      </c>
      <c r="I103" s="107">
        <f t="shared" si="52"/>
        <v>454.01699999999937</v>
      </c>
      <c r="J103" s="107">
        <f t="shared" si="52"/>
        <v>454.84299999999985</v>
      </c>
      <c r="L103" s="1216">
        <f t="shared" si="42"/>
        <v>-30.081999999999425</v>
      </c>
      <c r="M103" s="862">
        <f t="shared" si="43"/>
        <v>-15.234000000000378</v>
      </c>
      <c r="N103" s="862">
        <f t="shared" si="44"/>
        <v>-36.992000000000189</v>
      </c>
      <c r="O103" s="862">
        <f t="shared" si="45"/>
        <v>8.3589999999999236</v>
      </c>
      <c r="P103" s="862">
        <f t="shared" si="46"/>
        <v>-166.92199999999957</v>
      </c>
      <c r="Q103" s="862">
        <f t="shared" si="47"/>
        <v>-59.583999999999378</v>
      </c>
      <c r="R103" s="1217">
        <f t="shared" si="48"/>
        <v>-0.82600000000047658</v>
      </c>
    </row>
    <row r="104" spans="2:18" s="105" customFormat="1" ht="15" x14ac:dyDescent="0.25">
      <c r="B104" s="105" t="s">
        <v>11</v>
      </c>
      <c r="C104" s="112">
        <f t="shared" ref="C104:J108" si="53">+C35</f>
        <v>72.954999999999998</v>
      </c>
      <c r="D104" s="112">
        <f t="shared" si="53"/>
        <v>67.38</v>
      </c>
      <c r="E104" s="112">
        <f t="shared" si="53"/>
        <v>63.680999999999997</v>
      </c>
      <c r="F104" s="112">
        <f t="shared" si="53"/>
        <v>70.539000000000001</v>
      </c>
      <c r="G104" s="112">
        <f t="shared" si="53"/>
        <v>59.54</v>
      </c>
      <c r="H104" s="112">
        <f t="shared" si="53"/>
        <v>0</v>
      </c>
      <c r="I104" s="112">
        <f t="shared" si="53"/>
        <v>0</v>
      </c>
      <c r="J104" s="112">
        <f t="shared" si="53"/>
        <v>0</v>
      </c>
      <c r="L104" s="1216">
        <f t="shared" si="42"/>
        <v>5.5750000000000028</v>
      </c>
      <c r="M104" s="862">
        <f t="shared" si="43"/>
        <v>3.6989999999999981</v>
      </c>
      <c r="N104" s="862">
        <f t="shared" si="44"/>
        <v>-6.8580000000000041</v>
      </c>
      <c r="O104" s="862">
        <f t="shared" si="45"/>
        <v>10.999000000000002</v>
      </c>
      <c r="P104" s="862">
        <f t="shared" si="46"/>
        <v>59.54</v>
      </c>
      <c r="Q104" s="862">
        <f t="shared" si="47"/>
        <v>0</v>
      </c>
      <c r="R104" s="1217">
        <f t="shared" si="48"/>
        <v>0</v>
      </c>
    </row>
    <row r="105" spans="2:18" s="105" customFormat="1" ht="15" x14ac:dyDescent="0.25">
      <c r="B105" s="105" t="s">
        <v>99</v>
      </c>
      <c r="C105" s="112">
        <f t="shared" si="53"/>
        <v>0</v>
      </c>
      <c r="D105" s="112">
        <f t="shared" si="53"/>
        <v>0</v>
      </c>
      <c r="E105" s="112">
        <f t="shared" si="53"/>
        <v>0</v>
      </c>
      <c r="F105" s="112">
        <f t="shared" si="53"/>
        <v>0</v>
      </c>
      <c r="G105" s="112">
        <f t="shared" si="53"/>
        <v>0</v>
      </c>
      <c r="H105" s="112">
        <f t="shared" si="53"/>
        <v>62.427</v>
      </c>
      <c r="I105" s="112">
        <f t="shared" si="53"/>
        <v>57.823</v>
      </c>
      <c r="J105" s="112">
        <f t="shared" si="53"/>
        <v>60.673999999999999</v>
      </c>
      <c r="L105" s="1216">
        <f t="shared" si="42"/>
        <v>0</v>
      </c>
      <c r="M105" s="862">
        <f t="shared" si="43"/>
        <v>0</v>
      </c>
      <c r="N105" s="862">
        <f t="shared" si="44"/>
        <v>0</v>
      </c>
      <c r="O105" s="862">
        <f t="shared" si="45"/>
        <v>0</v>
      </c>
      <c r="P105" s="862">
        <f t="shared" si="46"/>
        <v>-62.427</v>
      </c>
      <c r="Q105" s="862">
        <f t="shared" si="47"/>
        <v>4.6039999999999992</v>
      </c>
      <c r="R105" s="1217">
        <f t="shared" si="48"/>
        <v>-2.8509999999999991</v>
      </c>
    </row>
    <row r="106" spans="2:18" s="105" customFormat="1" ht="15" x14ac:dyDescent="0.25">
      <c r="B106" s="105" t="s">
        <v>705</v>
      </c>
      <c r="C106" s="112">
        <f t="shared" si="53"/>
        <v>0</v>
      </c>
      <c r="D106" s="112">
        <f t="shared" si="53"/>
        <v>0</v>
      </c>
      <c r="E106" s="112">
        <f t="shared" si="53"/>
        <v>0</v>
      </c>
      <c r="F106" s="112">
        <f t="shared" si="53"/>
        <v>0</v>
      </c>
      <c r="G106" s="112">
        <f t="shared" si="53"/>
        <v>0</v>
      </c>
      <c r="H106" s="112">
        <f t="shared" si="53"/>
        <v>0</v>
      </c>
      <c r="I106" s="112">
        <f t="shared" si="53"/>
        <v>0</v>
      </c>
      <c r="J106" s="112">
        <f t="shared" si="53"/>
        <v>0</v>
      </c>
      <c r="L106" s="1216">
        <f t="shared" si="42"/>
        <v>0</v>
      </c>
      <c r="M106" s="862">
        <f t="shared" si="43"/>
        <v>0</v>
      </c>
      <c r="N106" s="862">
        <f t="shared" si="44"/>
        <v>0</v>
      </c>
      <c r="O106" s="862">
        <f t="shared" si="45"/>
        <v>0</v>
      </c>
      <c r="P106" s="862">
        <f t="shared" si="46"/>
        <v>0</v>
      </c>
      <c r="Q106" s="862">
        <f t="shared" si="47"/>
        <v>0</v>
      </c>
      <c r="R106" s="1217">
        <f t="shared" si="48"/>
        <v>0</v>
      </c>
    </row>
    <row r="107" spans="2:18" s="105" customFormat="1" ht="15" x14ac:dyDescent="0.25">
      <c r="B107" s="105" t="s">
        <v>820</v>
      </c>
      <c r="C107" s="112">
        <f t="shared" si="53"/>
        <v>113.414</v>
      </c>
      <c r="D107" s="112">
        <f t="shared" si="53"/>
        <v>146.096</v>
      </c>
      <c r="E107" s="112">
        <f t="shared" si="53"/>
        <v>157.83600000000001</v>
      </c>
      <c r="F107" s="112">
        <f t="shared" si="53"/>
        <v>188.30099999999999</v>
      </c>
      <c r="G107" s="112">
        <f t="shared" si="53"/>
        <v>194.40199999999999</v>
      </c>
      <c r="H107" s="112">
        <f t="shared" si="53"/>
        <v>220.86799999999999</v>
      </c>
      <c r="I107" s="112">
        <f t="shared" si="53"/>
        <v>268.67099999999999</v>
      </c>
      <c r="J107" s="112">
        <f t="shared" si="53"/>
        <v>318.52199999999999</v>
      </c>
      <c r="L107" s="1216">
        <f t="shared" si="42"/>
        <v>-32.682000000000002</v>
      </c>
      <c r="M107" s="862">
        <f t="shared" si="43"/>
        <v>-11.740000000000009</v>
      </c>
      <c r="N107" s="862">
        <f t="shared" si="44"/>
        <v>-30.464999999999975</v>
      </c>
      <c r="O107" s="862">
        <f t="shared" si="45"/>
        <v>-6.1009999999999991</v>
      </c>
      <c r="P107" s="862">
        <f t="shared" si="46"/>
        <v>-26.466000000000008</v>
      </c>
      <c r="Q107" s="862">
        <f t="shared" si="47"/>
        <v>-47.802999999999997</v>
      </c>
      <c r="R107" s="1217">
        <f t="shared" si="48"/>
        <v>-49.850999999999999</v>
      </c>
    </row>
    <row r="108" spans="2:18" s="105" customFormat="1" ht="15" x14ac:dyDescent="0.25">
      <c r="B108" s="105" t="s">
        <v>984</v>
      </c>
      <c r="C108" s="112">
        <f t="shared" si="53"/>
        <v>12.401</v>
      </c>
      <c r="D108" s="112">
        <f t="shared" si="53"/>
        <v>6.5010000000000003</v>
      </c>
      <c r="E108" s="112">
        <f t="shared" si="53"/>
        <v>3.8980000000000001</v>
      </c>
      <c r="F108" s="112">
        <f t="shared" si="53"/>
        <v>2.2730000000000001</v>
      </c>
      <c r="G108" s="112">
        <f t="shared" si="53"/>
        <v>1.7050000000000001</v>
      </c>
      <c r="H108" s="112">
        <f t="shared" si="53"/>
        <v>19.867999999999999</v>
      </c>
      <c r="I108" s="112">
        <f t="shared" si="53"/>
        <v>28.602</v>
      </c>
      <c r="J108" s="112">
        <f t="shared" si="53"/>
        <v>28.635999999999999</v>
      </c>
      <c r="L108" s="1216">
        <f t="shared" si="42"/>
        <v>5.8999999999999995</v>
      </c>
      <c r="M108" s="862">
        <f t="shared" si="43"/>
        <v>2.6030000000000002</v>
      </c>
      <c r="N108" s="862">
        <f t="shared" si="44"/>
        <v>1.625</v>
      </c>
      <c r="O108" s="862">
        <f t="shared" si="45"/>
        <v>0.56800000000000006</v>
      </c>
      <c r="P108" s="862">
        <f t="shared" si="46"/>
        <v>-18.162999999999997</v>
      </c>
      <c r="Q108" s="862">
        <f t="shared" si="47"/>
        <v>-8.7340000000000018</v>
      </c>
      <c r="R108" s="1217">
        <f t="shared" si="48"/>
        <v>-3.399999999999892E-2</v>
      </c>
    </row>
    <row r="109" spans="2:18" s="105" customFormat="1" ht="15" x14ac:dyDescent="0.25">
      <c r="B109" s="111" t="s">
        <v>103</v>
      </c>
      <c r="C109" s="1197">
        <f t="shared" ref="C109:J109" si="54">+C41</f>
        <v>0</v>
      </c>
      <c r="D109" s="1197">
        <f t="shared" si="54"/>
        <v>0</v>
      </c>
      <c r="E109" s="1197">
        <f t="shared" si="54"/>
        <v>0</v>
      </c>
      <c r="F109" s="1197">
        <f t="shared" si="54"/>
        <v>0</v>
      </c>
      <c r="G109" s="1197">
        <f t="shared" si="54"/>
        <v>0</v>
      </c>
      <c r="H109" s="1197">
        <f t="shared" si="54"/>
        <v>51.179999999999836</v>
      </c>
      <c r="I109" s="1197">
        <f t="shared" si="54"/>
        <v>0</v>
      </c>
      <c r="J109" s="1197">
        <f t="shared" si="54"/>
        <v>0</v>
      </c>
      <c r="L109" s="1216">
        <f t="shared" si="42"/>
        <v>0</v>
      </c>
      <c r="M109" s="862">
        <f t="shared" si="43"/>
        <v>0</v>
      </c>
      <c r="N109" s="862">
        <f t="shared" si="44"/>
        <v>0</v>
      </c>
      <c r="O109" s="862">
        <f t="shared" si="45"/>
        <v>0</v>
      </c>
      <c r="P109" s="862">
        <f t="shared" si="46"/>
        <v>-51.179999999999836</v>
      </c>
      <c r="Q109" s="862">
        <f t="shared" si="47"/>
        <v>51.179999999999836</v>
      </c>
      <c r="R109" s="1217">
        <f t="shared" si="48"/>
        <v>0</v>
      </c>
    </row>
    <row r="110" spans="2:18" s="1207" customFormat="1" ht="15" x14ac:dyDescent="0.25">
      <c r="B110" s="1205" t="s">
        <v>983</v>
      </c>
      <c r="C110" s="1206">
        <f>+Duz!D29</f>
        <v>-25.593000000000004</v>
      </c>
      <c r="D110" s="1206">
        <f>+Duz!E29</f>
        <v>-53.691999999999993</v>
      </c>
      <c r="E110" s="1206">
        <f>+Duz!F29</f>
        <v>-89.305000000000007</v>
      </c>
      <c r="F110" s="1206">
        <f>+Duz!G29</f>
        <v>-162.755</v>
      </c>
      <c r="G110" s="1206">
        <f>+Duz!H29</f>
        <v>-150.43799999999999</v>
      </c>
      <c r="H110" s="1206">
        <f>+Duz!I29</f>
        <v>-154.85599999999999</v>
      </c>
      <c r="I110" s="1206">
        <f>+Duz!J29</f>
        <v>-168.06900000000002</v>
      </c>
      <c r="J110" s="1206">
        <f>+Duz!K29</f>
        <v>49.012</v>
      </c>
      <c r="L110" s="1216">
        <f t="shared" si="42"/>
        <v>28.09899999999999</v>
      </c>
      <c r="M110" s="862">
        <f t="shared" si="43"/>
        <v>35.613000000000014</v>
      </c>
      <c r="N110" s="862">
        <f t="shared" si="44"/>
        <v>73.449999999999989</v>
      </c>
      <c r="O110" s="862">
        <f t="shared" si="45"/>
        <v>-12.317000000000007</v>
      </c>
      <c r="P110" s="862">
        <f t="shared" si="46"/>
        <v>4.4180000000000064</v>
      </c>
      <c r="Q110" s="862">
        <f t="shared" si="47"/>
        <v>13.213000000000022</v>
      </c>
      <c r="R110" s="1217">
        <f t="shared" si="48"/>
        <v>-217.08100000000002</v>
      </c>
    </row>
    <row r="111" spans="2:18" x14ac:dyDescent="0.25">
      <c r="B111" s="1198" t="s">
        <v>980</v>
      </c>
      <c r="C111" s="1199">
        <f t="shared" ref="C111:J111" si="55">+SUM(C91:C98)-SUM(C99:C109)+C110</f>
        <v>2592.5369999999998</v>
      </c>
      <c r="D111" s="1199">
        <f t="shared" si="55"/>
        <v>1615.144</v>
      </c>
      <c r="E111" s="1199">
        <f t="shared" si="55"/>
        <v>1507.3149999999994</v>
      </c>
      <c r="F111" s="1199">
        <f t="shared" si="55"/>
        <v>2401.6789999999996</v>
      </c>
      <c r="G111" s="1199">
        <f t="shared" si="55"/>
        <v>2664.3429999999998</v>
      </c>
      <c r="H111" s="1199">
        <f t="shared" si="55"/>
        <v>3285.5030000000015</v>
      </c>
      <c r="I111" s="1199">
        <f t="shared" si="55"/>
        <v>3435.7330000000006</v>
      </c>
      <c r="J111" s="1199">
        <f t="shared" si="55"/>
        <v>3536.6750000000002</v>
      </c>
      <c r="L111" s="1199">
        <f t="shared" si="42"/>
        <v>977.3929999999998</v>
      </c>
      <c r="M111" s="1199">
        <f t="shared" si="43"/>
        <v>107.82900000000063</v>
      </c>
      <c r="N111" s="1199">
        <f t="shared" si="44"/>
        <v>-894.36400000000026</v>
      </c>
      <c r="O111" s="1199">
        <f t="shared" si="45"/>
        <v>-262.66400000000021</v>
      </c>
      <c r="P111" s="1199">
        <f t="shared" si="46"/>
        <v>-621.16000000000167</v>
      </c>
      <c r="Q111" s="1199">
        <f t="shared" si="47"/>
        <v>-150.22999999999911</v>
      </c>
      <c r="R111" s="1199">
        <f t="shared" si="48"/>
        <v>-100.94199999999955</v>
      </c>
    </row>
    <row r="1048527" spans="2:2" x14ac:dyDescent="0.25">
      <c r="B1048527" s="1" t="s">
        <v>990</v>
      </c>
    </row>
  </sheetData>
  <mergeCells count="8">
    <mergeCell ref="V52:V53"/>
    <mergeCell ref="C2:J2"/>
    <mergeCell ref="B2:B3"/>
    <mergeCell ref="L2:R2"/>
    <mergeCell ref="B89:B90"/>
    <mergeCell ref="C89:J89"/>
    <mergeCell ref="C52:J52"/>
    <mergeCell ref="B52:B5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O1048459"/>
  <sheetViews>
    <sheetView zoomScale="80" zoomScaleNormal="80" workbookViewId="0">
      <pane xSplit="2" ySplit="3" topLeftCell="C25" activePane="bottomRight" state="frozen"/>
      <selection activeCell="B19" sqref="B19:K20"/>
      <selection pane="topRight" activeCell="B19" sqref="B19:K20"/>
      <selection pane="bottomLeft" activeCell="B19" sqref="B19:K20"/>
      <selection pane="bottomRight" activeCell="G39" sqref="G39"/>
    </sheetView>
  </sheetViews>
  <sheetFormatPr defaultColWidth="9.140625" defaultRowHeight="13.5" outlineLevelRow="1" x14ac:dyDescent="0.25"/>
  <cols>
    <col min="1" max="1" width="5.85546875" style="1" customWidth="1"/>
    <col min="2" max="2" width="40.7109375" style="1" customWidth="1"/>
    <col min="3" max="10" width="8.85546875" style="2" bestFit="1" customWidth="1"/>
    <col min="11" max="11" width="2.140625" style="1" customWidth="1"/>
    <col min="12" max="16384" width="9.140625" style="1"/>
  </cols>
  <sheetData>
    <row r="2" spans="2:15" ht="22.15" customHeight="1" outlineLevel="1" x14ac:dyDescent="0.45">
      <c r="B2" s="2060" t="s">
        <v>940</v>
      </c>
      <c r="C2" s="2059" t="s">
        <v>942</v>
      </c>
      <c r="D2" s="2059"/>
      <c r="E2" s="2059"/>
      <c r="F2" s="2059"/>
      <c r="G2" s="2059"/>
      <c r="H2" s="2059"/>
      <c r="I2" s="2059"/>
      <c r="J2" s="2059"/>
    </row>
    <row r="3" spans="2:15" s="3" customFormat="1" ht="15.75" outlineLevel="1" thickBot="1" x14ac:dyDescent="0.3">
      <c r="B3" s="2061"/>
      <c r="C3" s="1184" t="str">
        <f>UFRS!C3</f>
        <v>2008/12</v>
      </c>
      <c r="D3" s="1184" t="str">
        <f>UFRS!D3</f>
        <v>2009/12</v>
      </c>
      <c r="E3" s="1184" t="str">
        <f>UFRS!E3</f>
        <v>2010/12</v>
      </c>
      <c r="F3" s="1184" t="str">
        <f>UFRS!F3</f>
        <v>2011/12</v>
      </c>
      <c r="G3" s="1184" t="str">
        <f>UFRS!G3</f>
        <v>2012/12</v>
      </c>
      <c r="H3" s="1184" t="str">
        <f>UFRS!H3</f>
        <v>2013/12</v>
      </c>
      <c r="I3" s="1184" t="str">
        <f>UFRS!I3</f>
        <v>2014/12</v>
      </c>
      <c r="J3" s="1184" t="str">
        <f>UFRS!J3</f>
        <v>2015/12</v>
      </c>
      <c r="K3" s="1"/>
      <c r="L3" s="1"/>
      <c r="M3" s="1"/>
    </row>
    <row r="4" spans="2:15" s="103" customFormat="1" ht="15" outlineLevel="1" x14ac:dyDescent="0.25">
      <c r="B4" s="1185" t="s">
        <v>39</v>
      </c>
      <c r="C4" s="1186">
        <f>UFRS!C5/1000000</f>
        <v>4493.6549999999997</v>
      </c>
      <c r="D4" s="1186">
        <f>UFRS!D5/1000000</f>
        <v>4157.9549999999999</v>
      </c>
      <c r="E4" s="1186">
        <f>UFRS!E5/1000000</f>
        <v>4748.4390000000003</v>
      </c>
      <c r="F4" s="1186">
        <f>UFRS!F5/1000000</f>
        <v>6033.8490000000002</v>
      </c>
      <c r="G4" s="1186">
        <f>UFRS!G5/1000000</f>
        <v>6736.6779999999999</v>
      </c>
      <c r="H4" s="1186">
        <f>UFRS!H5/1000000</f>
        <v>7659.1180000000004</v>
      </c>
      <c r="I4" s="1186">
        <f>UFRS!I5/1000000</f>
        <v>8471.7569999999996</v>
      </c>
      <c r="J4" s="1186">
        <f>UFRS!J5/1000000</f>
        <v>9406.2520000000004</v>
      </c>
      <c r="K4" s="4"/>
      <c r="L4" s="4"/>
      <c r="M4" s="4"/>
    </row>
    <row r="5" spans="2:15" s="4" customFormat="1" ht="15" outlineLevel="1" x14ac:dyDescent="0.25">
      <c r="B5" s="4" t="s">
        <v>1001</v>
      </c>
      <c r="C5" s="98">
        <f>SUM(UFRS!C6)/1000000</f>
        <v>415.58600000000001</v>
      </c>
      <c r="D5" s="98">
        <f>SUM(UFRS!D6)/1000000</f>
        <v>904.73400000000004</v>
      </c>
      <c r="E5" s="98">
        <f>SUM(UFRS!E6)/1000000</f>
        <v>1317.1659999999999</v>
      </c>
      <c r="F5" s="98">
        <f>SUM(UFRS!F6)/1000000</f>
        <v>1173.8889999999999</v>
      </c>
      <c r="G5" s="98">
        <f>SUM(UFRS!G6)/1000000</f>
        <v>1740.789</v>
      </c>
      <c r="H5" s="98">
        <f>SUM(UFRS!H6)/1000000</f>
        <v>1266.575</v>
      </c>
      <c r="I5" s="98">
        <f>SUM(UFRS!I6)/1000000</f>
        <v>1621.221</v>
      </c>
      <c r="J5" s="98">
        <f>SUM(UFRS!J6)/1000000</f>
        <v>2167.627</v>
      </c>
    </row>
    <row r="6" spans="2:15" s="4" customFormat="1" ht="15" outlineLevel="1" x14ac:dyDescent="0.25">
      <c r="B6" s="4" t="s">
        <v>41</v>
      </c>
      <c r="C6" s="98">
        <f>+SUM(UFRS!C7:C10)/1000000</f>
        <v>26.039000000000001</v>
      </c>
      <c r="D6" s="98">
        <f>+SUM(UFRS!D7:D10)/1000000</f>
        <v>4.444</v>
      </c>
      <c r="E6" s="98">
        <f>+SUM(UFRS!E7:E10)/1000000</f>
        <v>1.1850000000000001</v>
      </c>
      <c r="F6" s="98">
        <f>+SUM(UFRS!F7:F10)/1000000</f>
        <v>2.9319999999999999</v>
      </c>
      <c r="G6" s="98">
        <f>+SUM(UFRS!G7:G10)/1000000</f>
        <v>0</v>
      </c>
      <c r="H6" s="98">
        <f>+SUM(UFRS!H7:H10)/1000000</f>
        <v>0</v>
      </c>
      <c r="I6" s="98">
        <f>+SUM(UFRS!I7:I10)/1000000</f>
        <v>0</v>
      </c>
      <c r="J6" s="98">
        <f>+SUM(UFRS!J7:J10)/1000000</f>
        <v>0</v>
      </c>
    </row>
    <row r="7" spans="2:15" s="4" customFormat="1" ht="15" outlineLevel="1" x14ac:dyDescent="0.25">
      <c r="B7" s="4" t="s">
        <v>44</v>
      </c>
      <c r="C7" s="98">
        <f>SUM(UFRS!C11:C15)/1000000</f>
        <v>2644.9270000000001</v>
      </c>
      <c r="D7" s="98">
        <f>SUM(UFRS!D11:D15)/1000000</f>
        <v>2233.011</v>
      </c>
      <c r="E7" s="98">
        <f>SUM(UFRS!E11:E15)/1000000</f>
        <v>2324.578</v>
      </c>
      <c r="F7" s="98">
        <f>SUM(UFRS!F11:F15)/1000000</f>
        <v>3180.87</v>
      </c>
      <c r="G7" s="98">
        <f>SUM(UFRS!G11:G15)/1000000</f>
        <v>3261.4769999999999</v>
      </c>
      <c r="H7" s="98">
        <f>SUM(UFRS!H11:H15)/1000000</f>
        <v>4182.1400000000003</v>
      </c>
      <c r="I7" s="98">
        <f>SUM(UFRS!I11:I15)/1000000</f>
        <v>4433.8980000000001</v>
      </c>
      <c r="J7" s="98">
        <f>SUM(UFRS!J11:J15)/1000000</f>
        <v>4790.5249999999996</v>
      </c>
    </row>
    <row r="8" spans="2:15" s="4" customFormat="1" ht="15" outlineLevel="1" x14ac:dyDescent="0.25">
      <c r="B8" s="4" t="s">
        <v>4</v>
      </c>
      <c r="C8" s="98">
        <f>SUM(UFRS!C17,UFRS!C19)/1000000</f>
        <v>1303.931</v>
      </c>
      <c r="D8" s="98">
        <f>SUM(UFRS!D17,UFRS!D19)/1000000</f>
        <v>906.78599999999994</v>
      </c>
      <c r="E8" s="98">
        <f>SUM(UFRS!E17,UFRS!E19)/1000000</f>
        <v>987.52599999999995</v>
      </c>
      <c r="F8" s="98">
        <f>SUM(UFRS!F17,UFRS!F19)/1000000</f>
        <v>1530.1410000000001</v>
      </c>
      <c r="G8" s="98">
        <f>SUM(UFRS!G17,UFRS!G19)/1000000</f>
        <v>1599.6579999999999</v>
      </c>
      <c r="H8" s="98">
        <f>SUM(UFRS!H17,UFRS!H19)/1000000</f>
        <v>1988.373</v>
      </c>
      <c r="I8" s="98">
        <f>SUM(UFRS!I17,UFRS!I19)/1000000</f>
        <v>2124.9459999999999</v>
      </c>
      <c r="J8" s="98">
        <f>SUM(UFRS!J17,UFRS!J19)/1000000</f>
        <v>2140.0569999999998</v>
      </c>
    </row>
    <row r="9" spans="2:15" s="4" customFormat="1" ht="15" outlineLevel="1" x14ac:dyDescent="0.25">
      <c r="B9" s="99" t="s">
        <v>94</v>
      </c>
      <c r="C9" s="71">
        <f t="shared" ref="C9:J9" si="0">C4-SUM(C5:C8)</f>
        <v>103.17199999999957</v>
      </c>
      <c r="D9" s="71">
        <f t="shared" si="0"/>
        <v>108.98000000000002</v>
      </c>
      <c r="E9" s="71">
        <f t="shared" si="0"/>
        <v>117.98400000000038</v>
      </c>
      <c r="F9" s="71">
        <f t="shared" si="0"/>
        <v>146.01699999999983</v>
      </c>
      <c r="G9" s="71">
        <f t="shared" si="0"/>
        <v>134.75400000000081</v>
      </c>
      <c r="H9" s="71">
        <f t="shared" si="0"/>
        <v>222.03000000000065</v>
      </c>
      <c r="I9" s="71">
        <f t="shared" si="0"/>
        <v>291.6919999999991</v>
      </c>
      <c r="J9" s="71">
        <f t="shared" si="0"/>
        <v>308.04300000000148</v>
      </c>
    </row>
    <row r="10" spans="2:15" s="103" customFormat="1" ht="15" outlineLevel="1" x14ac:dyDescent="0.25">
      <c r="B10" s="1185" t="s">
        <v>55</v>
      </c>
      <c r="C10" s="1186">
        <f>UFRS!C32/1000000</f>
        <v>2435.5740000000001</v>
      </c>
      <c r="D10" s="1186">
        <f>UFRS!D32/1000000</f>
        <v>2268.703</v>
      </c>
      <c r="E10" s="1186">
        <f>UFRS!E32/1000000</f>
        <v>2573.3200000000002</v>
      </c>
      <c r="F10" s="1186">
        <f>UFRS!F32/1000000</f>
        <v>3163.904</v>
      </c>
      <c r="G10" s="1186">
        <f>UFRS!G32/1000000</f>
        <v>3491.4749999999999</v>
      </c>
      <c r="H10" s="1186">
        <f>UFRS!H32/1000000</f>
        <v>3751.7979999999998</v>
      </c>
      <c r="I10" s="1186">
        <f>UFRS!I32/1000000</f>
        <v>3923.248</v>
      </c>
      <c r="J10" s="1186">
        <f>UFRS!J32/1000000</f>
        <v>4332.2560000000003</v>
      </c>
      <c r="O10" s="4"/>
    </row>
    <row r="11" spans="2:15" s="4" customFormat="1" ht="15" outlineLevel="1" x14ac:dyDescent="0.25">
      <c r="B11" s="4" t="s">
        <v>56</v>
      </c>
      <c r="C11" s="107">
        <f>SUM(UFRS!C42:C43,UFRS!C46,UFRS!C48,UFRS!C49)/1000000</f>
        <v>675.83299999999997</v>
      </c>
      <c r="D11" s="107">
        <f>SUM(UFRS!D42:D43,UFRS!D46,UFRS!D48,UFRS!D49)/1000000</f>
        <v>531.327</v>
      </c>
      <c r="E11" s="107">
        <f>SUM(UFRS!E42:E43,UFRS!E46,UFRS!E48,UFRS!E49)/1000000</f>
        <v>800.76300000000003</v>
      </c>
      <c r="F11" s="107">
        <f>SUM(UFRS!F42:F43,UFRS!F46,UFRS!F48,UFRS!F49)/1000000</f>
        <v>658.39700000000005</v>
      </c>
      <c r="G11" s="107">
        <f>SUM(UFRS!G42:G43,UFRS!G46,UFRS!G48,UFRS!G49)/1000000</f>
        <v>826.45399999999995</v>
      </c>
      <c r="H11" s="107">
        <f>SUM(UFRS!H42:H43,UFRS!H46,UFRS!H48,UFRS!H49)/1000000</f>
        <v>737.92</v>
      </c>
      <c r="I11" s="107">
        <f>SUM(UFRS!I42:I43,UFRS!I46,UFRS!I48,UFRS!I49)/1000000</f>
        <v>899.72799999999995</v>
      </c>
      <c r="J11" s="107">
        <f>SUM(UFRS!J42:J43,UFRS!J46,UFRS!J48,UFRS!J49)/1000000</f>
        <v>749.05700000000002</v>
      </c>
    </row>
    <row r="12" spans="2:15" s="4" customFormat="1" ht="15" outlineLevel="1" x14ac:dyDescent="0.25">
      <c r="B12" s="4" t="s">
        <v>59</v>
      </c>
      <c r="C12" s="98">
        <f>(UFRS!C50)/1000000</f>
        <v>1272.3330000000001</v>
      </c>
      <c r="D12" s="98">
        <f>(UFRS!D50)/1000000</f>
        <v>1244.1089999999999</v>
      </c>
      <c r="E12" s="98">
        <f>(UFRS!E50)/1000000</f>
        <v>1252.2449999999999</v>
      </c>
      <c r="F12" s="98">
        <f>(UFRS!F50)/1000000</f>
        <v>1446.8409999999999</v>
      </c>
      <c r="G12" s="98">
        <f>(UFRS!G50)/1000000</f>
        <v>1603.403</v>
      </c>
      <c r="H12" s="98">
        <f>(UFRS!H50)/1000000</f>
        <v>1836.789</v>
      </c>
      <c r="I12" s="98">
        <f>(UFRS!I50)/1000000</f>
        <v>1812.7460000000001</v>
      </c>
      <c r="J12" s="98">
        <f>(UFRS!J50)/1000000</f>
        <v>2055.6750000000002</v>
      </c>
    </row>
    <row r="13" spans="2:15" s="4" customFormat="1" ht="15" outlineLevel="1" x14ac:dyDescent="0.25">
      <c r="B13" s="4" t="s">
        <v>60</v>
      </c>
      <c r="C13" s="98">
        <f>(UFRS!C51)/1000000</f>
        <v>402.21499999999997</v>
      </c>
      <c r="D13" s="98">
        <f>(UFRS!D51)/1000000</f>
        <v>439.99299999999999</v>
      </c>
      <c r="E13" s="98">
        <f>(UFRS!E51)/1000000</f>
        <v>461.41699999999997</v>
      </c>
      <c r="F13" s="98">
        <f>(UFRS!F51)/1000000</f>
        <v>783.09400000000005</v>
      </c>
      <c r="G13" s="98">
        <f>(UFRS!G51)/1000000</f>
        <v>787.601</v>
      </c>
      <c r="H13" s="98">
        <f>(UFRS!H51)/1000000</f>
        <v>1058.9739999999999</v>
      </c>
      <c r="I13" s="98">
        <f>(UFRS!I51)/1000000</f>
        <v>1091.1949999999999</v>
      </c>
      <c r="J13" s="98">
        <f>(UFRS!J51)/1000000</f>
        <v>1170.93</v>
      </c>
    </row>
    <row r="14" spans="2:15" s="4" customFormat="1" ht="15" outlineLevel="1" x14ac:dyDescent="0.25">
      <c r="B14" s="4" t="s">
        <v>780</v>
      </c>
      <c r="C14" s="98">
        <f>+Mali!C21</f>
        <v>65.878</v>
      </c>
      <c r="D14" s="98">
        <f>+Mali!D21</f>
        <v>41.509</v>
      </c>
      <c r="E14" s="98">
        <f>+Mali!E21</f>
        <v>39.244</v>
      </c>
      <c r="F14" s="98">
        <f>+Mali!F21</f>
        <v>63.387</v>
      </c>
      <c r="G14" s="98">
        <f>+Mali!G21</f>
        <v>85.968000000000004</v>
      </c>
      <c r="H14" s="98">
        <f>+Mali!H21</f>
        <v>90.659000000000006</v>
      </c>
      <c r="I14" s="98">
        <f>+Mali!I21</f>
        <v>77.352999999999994</v>
      </c>
      <c r="J14" s="98">
        <f>+Mali!J21</f>
        <v>198.64699999999999</v>
      </c>
    </row>
    <row r="15" spans="2:15" s="4" customFormat="1" ht="15" outlineLevel="1" x14ac:dyDescent="0.25">
      <c r="B15" s="106" t="s">
        <v>97</v>
      </c>
      <c r="C15" s="84">
        <f>C10-SUM(C11:C14)</f>
        <v>19.3149999999996</v>
      </c>
      <c r="D15" s="84">
        <f t="shared" ref="D15:J15" si="1">D10-SUM(D11:D14)</f>
        <v>11.764999999999873</v>
      </c>
      <c r="E15" s="84">
        <f t="shared" si="1"/>
        <v>19.651000000000295</v>
      </c>
      <c r="F15" s="84">
        <f t="shared" si="1"/>
        <v>212.18499999999995</v>
      </c>
      <c r="G15" s="84">
        <f t="shared" si="1"/>
        <v>188.04899999999998</v>
      </c>
      <c r="H15" s="84">
        <f t="shared" si="1"/>
        <v>27.455999999999676</v>
      </c>
      <c r="I15" s="84">
        <f t="shared" si="1"/>
        <v>42.226000000000113</v>
      </c>
      <c r="J15" s="84">
        <f t="shared" si="1"/>
        <v>157.94700000000012</v>
      </c>
    </row>
    <row r="16" spans="2:15" s="7" customFormat="1" ht="15" outlineLevel="1" x14ac:dyDescent="0.25">
      <c r="B16" s="1182" t="s">
        <v>908</v>
      </c>
      <c r="C16" s="1183">
        <f t="shared" ref="C16:J16" si="2">C10+C4</f>
        <v>6929.2289999999994</v>
      </c>
      <c r="D16" s="1183">
        <f t="shared" si="2"/>
        <v>6426.6579999999994</v>
      </c>
      <c r="E16" s="1183">
        <f t="shared" si="2"/>
        <v>7321.759</v>
      </c>
      <c r="F16" s="1183">
        <f t="shared" si="2"/>
        <v>9197.7530000000006</v>
      </c>
      <c r="G16" s="1183">
        <f t="shared" si="2"/>
        <v>10228.153</v>
      </c>
      <c r="H16" s="1183">
        <f t="shared" si="2"/>
        <v>11410.916000000001</v>
      </c>
      <c r="I16" s="1183">
        <f t="shared" si="2"/>
        <v>12395.004999999999</v>
      </c>
      <c r="J16" s="1183">
        <f t="shared" si="2"/>
        <v>13738.508000000002</v>
      </c>
      <c r="O16" s="4"/>
    </row>
    <row r="17" spans="2:15" s="4" customFormat="1" ht="8.25" customHeight="1" outlineLevel="1" x14ac:dyDescent="0.25">
      <c r="C17" s="6"/>
      <c r="D17" s="6"/>
      <c r="E17" s="6"/>
      <c r="F17" s="6"/>
      <c r="G17" s="6"/>
      <c r="H17" s="6"/>
      <c r="I17" s="6"/>
      <c r="J17" s="6"/>
    </row>
    <row r="18" spans="2:15" s="103" customFormat="1" ht="15" outlineLevel="1" x14ac:dyDescent="0.25">
      <c r="B18" s="1180" t="s">
        <v>62</v>
      </c>
      <c r="C18" s="1181">
        <f>UFRS!C61/1000000</f>
        <v>3061.056</v>
      </c>
      <c r="D18" s="1181">
        <f>UFRS!D61/1000000</f>
        <v>3179.663</v>
      </c>
      <c r="E18" s="1181">
        <f>UFRS!E61/1000000</f>
        <v>2341.989</v>
      </c>
      <c r="F18" s="1181">
        <f>UFRS!F61/1000000</f>
        <v>3530.62</v>
      </c>
      <c r="G18" s="1181">
        <f>UFRS!G61/1000000</f>
        <v>3949.7620000000002</v>
      </c>
      <c r="H18" s="1181">
        <f>UFRS!H61/1000000</f>
        <v>4091.143</v>
      </c>
      <c r="I18" s="1181">
        <f>UFRS!I61/1000000</f>
        <v>4430.8029999999999</v>
      </c>
      <c r="J18" s="1181">
        <f>UFRS!J61/1000000</f>
        <v>5236.2969999999996</v>
      </c>
      <c r="O18" s="4"/>
    </row>
    <row r="19" spans="2:15" s="4" customFormat="1" ht="15" outlineLevel="1" x14ac:dyDescent="0.25">
      <c r="B19" s="4" t="s">
        <v>7</v>
      </c>
      <c r="C19" s="107">
        <f>SUM(UFRS!C62:C70,UFRS!C73)/1000000</f>
        <v>1920.038</v>
      </c>
      <c r="D19" s="107">
        <f>SUM(UFRS!D62:D70,UFRS!D73)/1000000</f>
        <v>1924.425</v>
      </c>
      <c r="E19" s="107">
        <f>SUM(UFRS!E62:E70,UFRS!E73)/1000000</f>
        <v>839.45899999999995</v>
      </c>
      <c r="F19" s="107">
        <f>SUM(UFRS!F62:F70,UFRS!F73)/1000000</f>
        <v>1629.1379999999999</v>
      </c>
      <c r="G19" s="107">
        <f>SUM(UFRS!G62:G70,UFRS!G73)/1000000</f>
        <v>2148.0859999999998</v>
      </c>
      <c r="H19" s="107">
        <f>SUM(UFRS!H62:H70,UFRS!H73)/1000000</f>
        <v>1687.876</v>
      </c>
      <c r="I19" s="107">
        <f>SUM(UFRS!I62:I70,UFRS!I73)/1000000</f>
        <v>1806.434</v>
      </c>
      <c r="J19" s="107">
        <f>SUM(UFRS!J62:J70,UFRS!J73)/1000000</f>
        <v>2188.0050000000001</v>
      </c>
    </row>
    <row r="20" spans="2:15" s="4" customFormat="1" ht="15" outlineLevel="1" x14ac:dyDescent="0.25">
      <c r="B20" s="4" t="s">
        <v>11</v>
      </c>
      <c r="C20" s="107">
        <f>SUM(UFRS!C71:C72)/1000000</f>
        <v>705.327</v>
      </c>
      <c r="D20" s="107">
        <f>SUM(UFRS!D71:D72)/1000000</f>
        <v>762.40200000000004</v>
      </c>
      <c r="E20" s="107">
        <f>SUM(UFRS!E71:E72)/1000000</f>
        <v>968.96199999999999</v>
      </c>
      <c r="F20" s="107">
        <f>SUM(UFRS!F71:F72)/1000000</f>
        <v>1249.5309999999999</v>
      </c>
      <c r="G20" s="107">
        <f>SUM(UFRS!G71:G72)/1000000</f>
        <v>1175.8040000000001</v>
      </c>
      <c r="H20" s="107">
        <f>SUM(UFRS!H71:H72)/1000000</f>
        <v>1644.9</v>
      </c>
      <c r="I20" s="107">
        <f>SUM(UFRS!I71:I72)/1000000</f>
        <v>1781.442</v>
      </c>
      <c r="J20" s="107">
        <f>SUM(UFRS!J71:J72)/1000000</f>
        <v>2090.3939999999998</v>
      </c>
    </row>
    <row r="21" spans="2:15" s="4" customFormat="1" ht="15" outlineLevel="1" x14ac:dyDescent="0.25">
      <c r="B21" s="99" t="s">
        <v>102</v>
      </c>
      <c r="C21" s="71">
        <f t="shared" ref="C21:J21" si="3">C18-SUM(C19:C20)</f>
        <v>435.69100000000026</v>
      </c>
      <c r="D21" s="71">
        <f t="shared" si="3"/>
        <v>492.83599999999979</v>
      </c>
      <c r="E21" s="71">
        <f t="shared" si="3"/>
        <v>533.56800000000021</v>
      </c>
      <c r="F21" s="71">
        <f t="shared" si="3"/>
        <v>651.95100000000002</v>
      </c>
      <c r="G21" s="71">
        <f t="shared" si="3"/>
        <v>625.8720000000003</v>
      </c>
      <c r="H21" s="71">
        <f t="shared" si="3"/>
        <v>758.36700000000019</v>
      </c>
      <c r="I21" s="71">
        <f t="shared" si="3"/>
        <v>842.92699999999968</v>
      </c>
      <c r="J21" s="71">
        <f t="shared" si="3"/>
        <v>957.89800000000014</v>
      </c>
    </row>
    <row r="22" spans="2:15" s="103" customFormat="1" ht="15" outlineLevel="1" x14ac:dyDescent="0.25">
      <c r="B22" s="1185" t="s">
        <v>14</v>
      </c>
      <c r="C22" s="1186">
        <f>UFRS!C87/1000000</f>
        <v>1866.8440000000001</v>
      </c>
      <c r="D22" s="1186">
        <f>UFRS!D87/1000000</f>
        <v>503.49200000000002</v>
      </c>
      <c r="E22" s="1186">
        <f>UFRS!E87/1000000</f>
        <v>1572.0360000000001</v>
      </c>
      <c r="F22" s="1186">
        <f>UFRS!F87/1000000</f>
        <v>2015.492</v>
      </c>
      <c r="G22" s="1186">
        <f>UFRS!G87/1000000</f>
        <v>2351.1559999999999</v>
      </c>
      <c r="H22" s="1186">
        <f>UFRS!H87/1000000</f>
        <v>3181.0169999999998</v>
      </c>
      <c r="I22" s="1186">
        <f>UFRS!I87/1000000</f>
        <v>3565.5039999999999</v>
      </c>
      <c r="J22" s="1186">
        <f>UFRS!J87/1000000</f>
        <v>3826.3739999999998</v>
      </c>
    </row>
    <row r="23" spans="2:15" s="4" customFormat="1" ht="15" outlineLevel="1" x14ac:dyDescent="0.25">
      <c r="B23" s="4" t="s">
        <v>7</v>
      </c>
      <c r="C23" s="98">
        <f>SUM(UFRS!C88:C92)/1000000</f>
        <v>1576.6030000000001</v>
      </c>
      <c r="D23" s="98">
        <f>SUM(UFRS!D88:D92)/1000000</f>
        <v>188.31399999999999</v>
      </c>
      <c r="E23" s="98">
        <f>SUM(UFRS!E88:E92)/1000000</f>
        <v>1218.0719999999999</v>
      </c>
      <c r="F23" s="98">
        <f>SUM(UFRS!F88:F92)/1000000</f>
        <v>1528.2370000000001</v>
      </c>
      <c r="G23" s="98">
        <f>SUM(UFRS!G88:G92)/1000000</f>
        <v>1859.1030000000001</v>
      </c>
      <c r="H23" s="98">
        <f>SUM(UFRS!H88:H92)/1000000</f>
        <v>2581.1590000000001</v>
      </c>
      <c r="I23" s="98">
        <f>SUM(UFRS!I88:I92)/1000000</f>
        <v>2964.9859999999999</v>
      </c>
      <c r="J23" s="98">
        <f>SUM(UFRS!J88:J92)/1000000</f>
        <v>3268.9070000000002</v>
      </c>
    </row>
    <row r="24" spans="2:15" s="4" customFormat="1" ht="15" outlineLevel="1" x14ac:dyDescent="0.25">
      <c r="B24" s="4" t="s">
        <v>11</v>
      </c>
      <c r="C24" s="107">
        <f>SUM(UFRS!C95,UFRS!C96)/1000000</f>
        <v>72.954999999999998</v>
      </c>
      <c r="D24" s="107">
        <f>SUM(UFRS!D95,UFRS!D96)/1000000</f>
        <v>67.38</v>
      </c>
      <c r="E24" s="107">
        <f>SUM(UFRS!E95,UFRS!E96)/1000000</f>
        <v>63.680999999999997</v>
      </c>
      <c r="F24" s="107">
        <f>SUM(UFRS!F95,UFRS!F96)/1000000</f>
        <v>70.539000000000001</v>
      </c>
      <c r="G24" s="107">
        <f>SUM(UFRS!G95,UFRS!G96)/1000000</f>
        <v>59.54</v>
      </c>
      <c r="H24" s="107">
        <f>SUM(UFRS!H95,UFRS!H96)/1000000</f>
        <v>0</v>
      </c>
      <c r="I24" s="107">
        <f>SUM(UFRS!I95,UFRS!I96)/1000000</f>
        <v>0</v>
      </c>
      <c r="J24" s="107">
        <f>SUM(UFRS!J95,UFRS!J96)/1000000</f>
        <v>0</v>
      </c>
    </row>
    <row r="25" spans="2:15" s="4" customFormat="1" ht="15" outlineLevel="1" x14ac:dyDescent="0.25">
      <c r="B25" s="4" t="s">
        <v>984</v>
      </c>
      <c r="C25" s="107">
        <f>UFRS!C103/1000000</f>
        <v>91.471000000000004</v>
      </c>
      <c r="D25" s="107">
        <f>UFRS!D103/1000000</f>
        <v>95.200999999999993</v>
      </c>
      <c r="E25" s="107">
        <f>UFRS!E103/1000000</f>
        <v>128.54900000000001</v>
      </c>
      <c r="F25" s="107">
        <f>UFRS!F103/1000000</f>
        <v>226.142</v>
      </c>
      <c r="G25" s="107">
        <f>UFRS!G103/1000000</f>
        <v>236.40600000000001</v>
      </c>
      <c r="H25" s="107">
        <f>UFRS!H103/1000000</f>
        <v>245.51499999999999</v>
      </c>
      <c r="I25" s="107">
        <f>UFRS!I103/1000000</f>
        <v>245.422</v>
      </c>
      <c r="J25" s="107">
        <f>UFRS!J103/1000000</f>
        <v>149.63499999999999</v>
      </c>
    </row>
    <row r="26" spans="2:15" s="4" customFormat="1" ht="15" outlineLevel="1" x14ac:dyDescent="0.25">
      <c r="B26" s="4" t="s">
        <v>103</v>
      </c>
      <c r="C26" s="98">
        <f t="shared" ref="C26:J26" si="4">C22-SUM(C23:C25)</f>
        <v>125.81500000000005</v>
      </c>
      <c r="D26" s="98">
        <f t="shared" si="4"/>
        <v>152.59700000000004</v>
      </c>
      <c r="E26" s="98">
        <f t="shared" si="4"/>
        <v>161.73400000000015</v>
      </c>
      <c r="F26" s="98">
        <f t="shared" si="4"/>
        <v>190.57399999999984</v>
      </c>
      <c r="G26" s="98">
        <f t="shared" si="4"/>
        <v>196.10699999999997</v>
      </c>
      <c r="H26" s="98">
        <f t="shared" si="4"/>
        <v>354.34299999999985</v>
      </c>
      <c r="I26" s="98">
        <f t="shared" si="4"/>
        <v>355.096</v>
      </c>
      <c r="J26" s="98">
        <f t="shared" si="4"/>
        <v>407.83199999999943</v>
      </c>
    </row>
    <row r="27" spans="2:15" s="7" customFormat="1" ht="15" outlineLevel="1" x14ac:dyDescent="0.25">
      <c r="B27" s="1185" t="s">
        <v>821</v>
      </c>
      <c r="C27" s="1186">
        <f t="shared" ref="C27:J27" si="5">C28+C33</f>
        <v>2001.3290000000002</v>
      </c>
      <c r="D27" s="1186">
        <f t="shared" si="5"/>
        <v>2743.5030000000002</v>
      </c>
      <c r="E27" s="1186">
        <f t="shared" si="5"/>
        <v>3407.7339999999999</v>
      </c>
      <c r="F27" s="1186">
        <f t="shared" si="5"/>
        <v>3651.6410000000001</v>
      </c>
      <c r="G27" s="1186">
        <f t="shared" si="5"/>
        <v>3927.2350000000001</v>
      </c>
      <c r="H27" s="1186">
        <f t="shared" si="5"/>
        <v>4138.7560000000003</v>
      </c>
      <c r="I27" s="1186">
        <f t="shared" si="5"/>
        <v>4398.6980000000003</v>
      </c>
      <c r="J27" s="1186">
        <f t="shared" si="5"/>
        <v>4675.8370000000004</v>
      </c>
    </row>
    <row r="28" spans="2:15" s="7" customFormat="1" ht="15" outlineLevel="1" x14ac:dyDescent="0.25">
      <c r="B28" s="7" t="s">
        <v>826</v>
      </c>
      <c r="C28" s="102">
        <f>UFRS!C113/1000000</f>
        <v>1938.0640000000001</v>
      </c>
      <c r="D28" s="102">
        <f>UFRS!D113/1000000</f>
        <v>2700.1210000000001</v>
      </c>
      <c r="E28" s="102">
        <f>UFRS!E113/1000000</f>
        <v>3341.5520000000001</v>
      </c>
      <c r="F28" s="102">
        <f>UFRS!F113/1000000</f>
        <v>3545.5920000000001</v>
      </c>
      <c r="G28" s="102">
        <f>UFRS!G113/1000000</f>
        <v>3841.652</v>
      </c>
      <c r="H28" s="102">
        <f>UFRS!H113/1000000</f>
        <v>4062.85</v>
      </c>
      <c r="I28" s="102">
        <f>UFRS!I113/1000000</f>
        <v>4355.625</v>
      </c>
      <c r="J28" s="102">
        <f>UFRS!J113/1000000</f>
        <v>4657.0110000000004</v>
      </c>
    </row>
    <row r="29" spans="2:15" s="4" customFormat="1" ht="15" outlineLevel="1" x14ac:dyDescent="0.25">
      <c r="B29" s="4" t="s">
        <v>844</v>
      </c>
      <c r="C29" s="98">
        <f>+SUM(UFRS!C114:C115)/1000000</f>
        <v>399.96</v>
      </c>
      <c r="D29" s="98">
        <f>+SUM(UFRS!D114:D115)/1000000</f>
        <v>675.72799999999995</v>
      </c>
      <c r="E29" s="98">
        <f>+SUM(UFRS!E114:E115)/1000000</f>
        <v>675.72799999999995</v>
      </c>
      <c r="F29" s="98">
        <f>+SUM(UFRS!F114:F115)/1000000</f>
        <v>675.72799999999995</v>
      </c>
      <c r="G29" s="98">
        <f>+SUM(UFRS!G114:G115)/1000000</f>
        <v>675.72799999999995</v>
      </c>
      <c r="H29" s="98">
        <f>+SUM(UFRS!H114:H115)/1000000</f>
        <v>675.72799999999995</v>
      </c>
      <c r="I29" s="98">
        <f>+SUM(UFRS!I114:I115)/1000000</f>
        <v>675.72799999999995</v>
      </c>
      <c r="J29" s="98">
        <f>+SUM(UFRS!J114:J115)/1000000</f>
        <v>675.72799999999995</v>
      </c>
    </row>
    <row r="30" spans="2:15" s="4" customFormat="1" ht="15" outlineLevel="1" x14ac:dyDescent="0.25">
      <c r="B30" s="4" t="s">
        <v>845</v>
      </c>
      <c r="C30" s="98">
        <f>UFRS!C235/1000000</f>
        <v>797.60900000000004</v>
      </c>
      <c r="D30" s="98">
        <f>UFRS!D235/1000000</f>
        <v>788.39499999999998</v>
      </c>
      <c r="E30" s="98">
        <f>UFRS!E235/1000000</f>
        <v>1011.254</v>
      </c>
      <c r="F30" s="98">
        <f>UFRS!F235/1000000</f>
        <v>957.12699999999995</v>
      </c>
      <c r="G30" s="98">
        <f>UFRS!G235/1000000</f>
        <v>1026.7750000000001</v>
      </c>
      <c r="H30" s="98">
        <f>UFRS!H235/1000000</f>
        <v>1222.1690000000001</v>
      </c>
      <c r="I30" s="98">
        <f>UFRS!I235/1000000</f>
        <v>1241.059</v>
      </c>
      <c r="J30" s="98">
        <f>UFRS!J235/1000000</f>
        <v>1244.2660000000001</v>
      </c>
    </row>
    <row r="31" spans="2:15" s="4" customFormat="1" ht="15" outlineLevel="1" x14ac:dyDescent="0.25">
      <c r="B31" s="4" t="s">
        <v>846</v>
      </c>
      <c r="C31" s="98">
        <f>UFRS!C236/1000000</f>
        <v>39.793999999999997</v>
      </c>
      <c r="D31" s="98">
        <f>UFRS!D236/1000000</f>
        <v>485.41</v>
      </c>
      <c r="E31" s="98">
        <f>UFRS!E236/1000000</f>
        <v>517.09299999999996</v>
      </c>
      <c r="F31" s="98">
        <f>UFRS!F236/1000000</f>
        <v>506.50599999999997</v>
      </c>
      <c r="G31" s="98">
        <f>UFRS!G236/1000000</f>
        <v>524.76400000000001</v>
      </c>
      <c r="H31" s="98">
        <f>UFRS!H236/1000000</f>
        <v>597.84500000000003</v>
      </c>
      <c r="I31" s="98">
        <f>UFRS!I236/1000000</f>
        <v>617.08399999999995</v>
      </c>
      <c r="J31" s="98">
        <f>UFRS!J236/1000000</f>
        <v>891.14099999999996</v>
      </c>
    </row>
    <row r="32" spans="2:15" s="4" customFormat="1" ht="15" outlineLevel="1" x14ac:dyDescent="0.25">
      <c r="B32" s="4" t="s">
        <v>857</v>
      </c>
      <c r="C32" s="98">
        <f>UFRS!C237/1000000</f>
        <v>700.70100000000002</v>
      </c>
      <c r="D32" s="98">
        <f>UFRS!D237/1000000</f>
        <v>750.58799999999997</v>
      </c>
      <c r="E32" s="98">
        <f>UFRS!E237/1000000</f>
        <v>1137.4770000000001</v>
      </c>
      <c r="F32" s="98">
        <f>UFRS!F237/1000000</f>
        <v>1406.231</v>
      </c>
      <c r="G32" s="98">
        <f>UFRS!G237/1000000</f>
        <v>1614.385</v>
      </c>
      <c r="H32" s="98">
        <f>UFRS!H237/1000000</f>
        <v>1567.1079999999999</v>
      </c>
      <c r="I32" s="98">
        <f>UFRS!I237/1000000</f>
        <v>1821.7539999999999</v>
      </c>
      <c r="J32" s="98">
        <f>UFRS!J237/1000000</f>
        <v>1845.876</v>
      </c>
    </row>
    <row r="33" spans="2:13" s="7" customFormat="1" ht="15" outlineLevel="1" x14ac:dyDescent="0.25">
      <c r="B33" s="7" t="s">
        <v>822</v>
      </c>
      <c r="C33" s="102">
        <f>UFRS!C110/1000000</f>
        <v>63.265000000000001</v>
      </c>
      <c r="D33" s="102">
        <f>UFRS!D110/1000000</f>
        <v>43.381999999999998</v>
      </c>
      <c r="E33" s="102">
        <f>UFRS!E110/1000000</f>
        <v>66.182000000000002</v>
      </c>
      <c r="F33" s="102">
        <f>UFRS!F110/1000000</f>
        <v>106.04900000000001</v>
      </c>
      <c r="G33" s="102">
        <f>UFRS!G110/1000000</f>
        <v>85.582999999999998</v>
      </c>
      <c r="H33" s="102">
        <f>UFRS!H110/1000000</f>
        <v>75.906000000000006</v>
      </c>
      <c r="I33" s="102">
        <f>UFRS!I110/1000000</f>
        <v>43.073</v>
      </c>
      <c r="J33" s="102">
        <f>UFRS!J110/1000000</f>
        <v>18.826000000000001</v>
      </c>
    </row>
    <row r="34" spans="2:13" s="7" customFormat="1" ht="15" outlineLevel="1" x14ac:dyDescent="0.25">
      <c r="B34" s="1182" t="s">
        <v>823</v>
      </c>
      <c r="C34" s="1183">
        <f t="shared" ref="C34:J34" si="6">C27+C22+C18</f>
        <v>6929.2290000000003</v>
      </c>
      <c r="D34" s="1183">
        <f t="shared" si="6"/>
        <v>6426.6580000000004</v>
      </c>
      <c r="E34" s="1183">
        <f t="shared" si="6"/>
        <v>7321.759</v>
      </c>
      <c r="F34" s="1183">
        <f t="shared" si="6"/>
        <v>9197.7530000000006</v>
      </c>
      <c r="G34" s="1183">
        <f t="shared" si="6"/>
        <v>10228.153</v>
      </c>
      <c r="H34" s="1183">
        <f t="shared" si="6"/>
        <v>11410.916000000001</v>
      </c>
      <c r="I34" s="1183">
        <f t="shared" si="6"/>
        <v>12395.005000000001</v>
      </c>
      <c r="J34" s="1183">
        <f t="shared" si="6"/>
        <v>13738.507999999998</v>
      </c>
    </row>
    <row r="36" spans="2:13" s="4" customFormat="1" ht="19.899999999999999" customHeight="1" x14ac:dyDescent="0.45">
      <c r="B36" s="2062" t="s">
        <v>943</v>
      </c>
      <c r="C36" s="2059" t="s">
        <v>942</v>
      </c>
      <c r="D36" s="2059"/>
      <c r="E36" s="2059"/>
      <c r="F36" s="2059"/>
      <c r="G36" s="2059"/>
      <c r="H36" s="2059"/>
      <c r="I36" s="2059"/>
      <c r="J36" s="2059"/>
      <c r="K36" s="116"/>
      <c r="L36" s="116"/>
      <c r="M36" s="116"/>
    </row>
    <row r="37" spans="2:13" s="7" customFormat="1" ht="15" customHeight="1" thickBot="1" x14ac:dyDescent="0.3">
      <c r="B37" s="2063"/>
      <c r="C37" s="1184" t="str">
        <f t="shared" ref="C37:J37" si="7">C3</f>
        <v>2008/12</v>
      </c>
      <c r="D37" s="1184" t="str">
        <f t="shared" si="7"/>
        <v>2009/12</v>
      </c>
      <c r="E37" s="1184" t="str">
        <f t="shared" si="7"/>
        <v>2010/12</v>
      </c>
      <c r="F37" s="1184" t="str">
        <f t="shared" si="7"/>
        <v>2011/12</v>
      </c>
      <c r="G37" s="1184" t="str">
        <f t="shared" si="7"/>
        <v>2012/12</v>
      </c>
      <c r="H37" s="1184" t="str">
        <f t="shared" si="7"/>
        <v>2013/12</v>
      </c>
      <c r="I37" s="1184" t="str">
        <f t="shared" si="7"/>
        <v>2014/12</v>
      </c>
      <c r="J37" s="1184" t="str">
        <f t="shared" si="7"/>
        <v>2015/12</v>
      </c>
      <c r="K37" s="116"/>
      <c r="L37" s="116"/>
      <c r="M37" s="116"/>
    </row>
    <row r="38" spans="2:13" s="7" customFormat="1" ht="15" x14ac:dyDescent="0.25">
      <c r="B38" s="7" t="s">
        <v>946</v>
      </c>
      <c r="C38" s="102">
        <f>UFRS!C161/1000000</f>
        <v>6775.5379999999996</v>
      </c>
      <c r="D38" s="102">
        <f>UFRS!D161/1000000</f>
        <v>6591.8950000000004</v>
      </c>
      <c r="E38" s="102">
        <f>UFRS!E161/1000000</f>
        <v>6936.42</v>
      </c>
      <c r="F38" s="102">
        <f>UFRS!F161/1000000</f>
        <v>8437.2389999999996</v>
      </c>
      <c r="G38" s="102">
        <f>UFRS!G161/1000000</f>
        <v>10556.861000000001</v>
      </c>
      <c r="H38" s="102">
        <f>UFRS!H161/1000000</f>
        <v>11097.710999999999</v>
      </c>
      <c r="I38" s="102">
        <f>UFRS!I161/1000000</f>
        <v>12514.032999999999</v>
      </c>
      <c r="J38" s="102">
        <f>UFRS!J161/1000000</f>
        <v>14166.1</v>
      </c>
      <c r="K38" s="116"/>
      <c r="L38" s="116"/>
      <c r="M38" s="116"/>
    </row>
    <row r="39" spans="2:13" s="4" customFormat="1" ht="15" x14ac:dyDescent="0.25">
      <c r="B39" s="4" t="s">
        <v>296</v>
      </c>
      <c r="C39" s="98">
        <f>UFRS!C163/1000000</f>
        <v>4905.2920000000004</v>
      </c>
      <c r="D39" s="98">
        <f>UFRS!D163/1000000</f>
        <v>4417.8919999999998</v>
      </c>
      <c r="E39" s="98">
        <f>UFRS!E163/1000000</f>
        <v>4868.473</v>
      </c>
      <c r="F39" s="98">
        <f>UFRS!F163/1000000</f>
        <v>5897.009</v>
      </c>
      <c r="G39" s="98">
        <f>UFRS!G163/1000000</f>
        <v>7503.0240000000003</v>
      </c>
      <c r="H39" s="98">
        <f>UFRS!H163/1000000</f>
        <v>7709.326</v>
      </c>
      <c r="I39" s="98">
        <f>UFRS!I163/1000000</f>
        <v>8535.2009999999991</v>
      </c>
      <c r="J39" s="98">
        <f>UFRS!J163/1000000</f>
        <v>9630.2070000000003</v>
      </c>
      <c r="K39" s="116"/>
      <c r="L39" s="116"/>
      <c r="M39" s="116"/>
    </row>
    <row r="40" spans="2:13" s="7" customFormat="1" ht="15" x14ac:dyDescent="0.25">
      <c r="B40" s="7" t="s">
        <v>944</v>
      </c>
      <c r="C40" s="102">
        <f t="shared" ref="C40:H40" si="8">C38-C39</f>
        <v>1870.2459999999992</v>
      </c>
      <c r="D40" s="102">
        <f t="shared" si="8"/>
        <v>2174.0030000000006</v>
      </c>
      <c r="E40" s="102">
        <f t="shared" si="8"/>
        <v>2067.9470000000001</v>
      </c>
      <c r="F40" s="102">
        <f t="shared" si="8"/>
        <v>2540.2299999999996</v>
      </c>
      <c r="G40" s="102">
        <f t="shared" si="8"/>
        <v>3053.8370000000004</v>
      </c>
      <c r="H40" s="102">
        <f t="shared" si="8"/>
        <v>3388.3849999999993</v>
      </c>
      <c r="I40" s="102">
        <f>I38-I39</f>
        <v>3978.8320000000003</v>
      </c>
      <c r="J40" s="102">
        <f>J38-J39</f>
        <v>4535.893</v>
      </c>
    </row>
    <row r="41" spans="2:13" s="7" customFormat="1" ht="15" x14ac:dyDescent="0.25">
      <c r="B41" s="7" t="s">
        <v>945</v>
      </c>
      <c r="C41" s="102">
        <f>UFRS!C175/1000000</f>
        <v>1430.6569999999999</v>
      </c>
      <c r="D41" s="102">
        <f>UFRS!D175/1000000</f>
        <v>1479.81</v>
      </c>
      <c r="E41" s="102">
        <f>UFRS!E175/1000000</f>
        <v>1502.3720000000001</v>
      </c>
      <c r="F41" s="102">
        <f>UFRS!F175/1000000</f>
        <v>1881.673</v>
      </c>
      <c r="G41" s="102">
        <f>UFRS!G175/1000000</f>
        <v>2283.826</v>
      </c>
      <c r="H41" s="102">
        <f>UFRS!H175/1000000</f>
        <v>2527.2379999999998</v>
      </c>
      <c r="I41" s="102">
        <f>UFRS!I175/1000000</f>
        <v>2991.0909999999999</v>
      </c>
      <c r="J41" s="102">
        <f>UFRS!J175/1000000</f>
        <v>3449.2550000000001</v>
      </c>
    </row>
    <row r="42" spans="2:13" s="4" customFormat="1" ht="15" x14ac:dyDescent="0.25">
      <c r="B42" s="4" t="s">
        <v>947</v>
      </c>
      <c r="C42" s="98">
        <f>UFRS!C176/1000000</f>
        <v>54.517000000000003</v>
      </c>
      <c r="D42" s="98">
        <f>UFRS!D176/1000000</f>
        <v>48.48</v>
      </c>
      <c r="E42" s="98">
        <f>UFRS!E176/1000000</f>
        <v>60.52</v>
      </c>
      <c r="F42" s="98">
        <f>UFRS!F176/1000000</f>
        <v>64.846999999999994</v>
      </c>
      <c r="G42" s="98">
        <f>UFRS!G176/1000000</f>
        <v>72.998000000000005</v>
      </c>
      <c r="H42" s="98">
        <f>UFRS!H176/1000000</f>
        <v>83.206999999999994</v>
      </c>
      <c r="I42" s="98">
        <f>UFRS!I176/1000000</f>
        <v>102.05500000000001</v>
      </c>
      <c r="J42" s="98">
        <f>UFRS!J176/1000000</f>
        <v>125.173</v>
      </c>
    </row>
    <row r="43" spans="2:13" s="4" customFormat="1" ht="15" x14ac:dyDescent="0.25">
      <c r="B43" s="4" t="s">
        <v>948</v>
      </c>
      <c r="C43" s="98">
        <f>UFRS!C177/1000000</f>
        <v>1080.5239999999999</v>
      </c>
      <c r="D43" s="98">
        <f>UFRS!D177/1000000</f>
        <v>1105.7249999999999</v>
      </c>
      <c r="E43" s="98">
        <f>UFRS!E177/1000000</f>
        <v>1161.489</v>
      </c>
      <c r="F43" s="98">
        <f>UFRS!F177/1000000</f>
        <v>1474.2539999999999</v>
      </c>
      <c r="G43" s="98">
        <f>UFRS!G177/1000000</f>
        <v>1820.9</v>
      </c>
      <c r="H43" s="98">
        <f>UFRS!H177/1000000</f>
        <v>2013.0329999999999</v>
      </c>
      <c r="I43" s="98">
        <f>UFRS!I177/1000000</f>
        <v>2356.2469999999998</v>
      </c>
      <c r="J43" s="98">
        <f>UFRS!J177/1000000</f>
        <v>2722.0140000000001</v>
      </c>
    </row>
    <row r="44" spans="2:13" s="4" customFormat="1" ht="15" x14ac:dyDescent="0.25">
      <c r="B44" s="4" t="s">
        <v>949</v>
      </c>
      <c r="C44" s="98">
        <f>UFRS!C178/1000000</f>
        <v>295.61599999999999</v>
      </c>
      <c r="D44" s="98">
        <f>UFRS!D178/1000000</f>
        <v>325.60500000000002</v>
      </c>
      <c r="E44" s="98">
        <f>UFRS!E178/1000000</f>
        <v>280.363</v>
      </c>
      <c r="F44" s="98">
        <f>UFRS!F178/1000000</f>
        <v>342.572</v>
      </c>
      <c r="G44" s="98">
        <f>UFRS!G178/1000000</f>
        <v>389.928</v>
      </c>
      <c r="H44" s="98">
        <f>UFRS!H178/1000000</f>
        <v>430.99799999999999</v>
      </c>
      <c r="I44" s="98">
        <f>UFRS!I178/1000000</f>
        <v>532.78899999999999</v>
      </c>
      <c r="J44" s="98">
        <f>UFRS!J178/1000000</f>
        <v>602.06799999999998</v>
      </c>
    </row>
    <row r="45" spans="2:13" s="7" customFormat="1" ht="15.75" thickBot="1" x14ac:dyDescent="0.3">
      <c r="B45" s="1271" t="s">
        <v>950</v>
      </c>
      <c r="C45" s="1272">
        <f t="shared" ref="C45:H45" si="9">C40-C41</f>
        <v>439.58899999999926</v>
      </c>
      <c r="D45" s="1272">
        <f t="shared" si="9"/>
        <v>694.19300000000067</v>
      </c>
      <c r="E45" s="1272">
        <f t="shared" si="9"/>
        <v>565.57500000000005</v>
      </c>
      <c r="F45" s="1272">
        <f t="shared" si="9"/>
        <v>658.55699999999956</v>
      </c>
      <c r="G45" s="1272">
        <f t="shared" si="9"/>
        <v>770.01100000000042</v>
      </c>
      <c r="H45" s="1272">
        <f t="shared" si="9"/>
        <v>861.14699999999948</v>
      </c>
      <c r="I45" s="1272">
        <f>I40-I41</f>
        <v>987.74100000000044</v>
      </c>
      <c r="J45" s="1272">
        <f>J40-J41</f>
        <v>1086.6379999999999</v>
      </c>
    </row>
    <row r="46" spans="2:13" s="4" customFormat="1" ht="15" x14ac:dyDescent="0.25">
      <c r="C46" s="6"/>
      <c r="D46" s="6"/>
      <c r="E46" s="6"/>
      <c r="F46" s="6"/>
      <c r="G46" s="6"/>
      <c r="H46" s="6"/>
      <c r="I46" s="6"/>
      <c r="J46" s="6"/>
    </row>
    <row r="47" spans="2:13" ht="28.15" customHeight="1" x14ac:dyDescent="0.45">
      <c r="B47" s="2064" t="s">
        <v>997</v>
      </c>
      <c r="C47" s="2059" t="s">
        <v>942</v>
      </c>
      <c r="D47" s="2059"/>
      <c r="E47" s="2059"/>
      <c r="F47" s="2059"/>
      <c r="G47" s="2059"/>
      <c r="H47" s="2059"/>
      <c r="I47" s="2059"/>
      <c r="J47" s="2059"/>
    </row>
    <row r="48" spans="2:13" ht="15.75" thickBot="1" x14ac:dyDescent="0.3">
      <c r="B48" s="2065"/>
      <c r="C48" s="1184" t="str">
        <f t="shared" ref="C48:J48" si="10">+C3</f>
        <v>2008/12</v>
      </c>
      <c r="D48" s="1184" t="str">
        <f t="shared" si="10"/>
        <v>2009/12</v>
      </c>
      <c r="E48" s="1184" t="str">
        <f t="shared" si="10"/>
        <v>2010/12</v>
      </c>
      <c r="F48" s="1184" t="str">
        <f t="shared" si="10"/>
        <v>2011/12</v>
      </c>
      <c r="G48" s="1184" t="str">
        <f t="shared" si="10"/>
        <v>2012/12</v>
      </c>
      <c r="H48" s="1184" t="str">
        <f t="shared" si="10"/>
        <v>2013/12</v>
      </c>
      <c r="I48" s="1184" t="str">
        <f t="shared" si="10"/>
        <v>2014/12</v>
      </c>
      <c r="J48" s="1184" t="str">
        <f t="shared" si="10"/>
        <v>2015/12</v>
      </c>
    </row>
    <row r="49" spans="2:10" s="4" customFormat="1" ht="15" x14ac:dyDescent="0.25">
      <c r="B49" s="4" t="str">
        <f>+B7</f>
        <v>Kısa Vadeli Ticari Alacaklar</v>
      </c>
      <c r="C49" s="98">
        <f>+C7</f>
        <v>2644.9270000000001</v>
      </c>
      <c r="D49" s="98">
        <f t="shared" ref="D49:J49" si="11">+D7</f>
        <v>2233.011</v>
      </c>
      <c r="E49" s="98">
        <f t="shared" si="11"/>
        <v>2324.578</v>
      </c>
      <c r="F49" s="98">
        <f t="shared" si="11"/>
        <v>3180.87</v>
      </c>
      <c r="G49" s="98">
        <f t="shared" si="11"/>
        <v>3261.4769999999999</v>
      </c>
      <c r="H49" s="98">
        <f t="shared" si="11"/>
        <v>4182.1400000000003</v>
      </c>
      <c r="I49" s="98">
        <f t="shared" si="11"/>
        <v>4433.8980000000001</v>
      </c>
      <c r="J49" s="98">
        <f t="shared" si="11"/>
        <v>4790.5249999999996</v>
      </c>
    </row>
    <row r="50" spans="2:10" s="4" customFormat="1" ht="15" x14ac:dyDescent="0.25">
      <c r="B50" s="4" t="str">
        <f t="shared" ref="B50:C51" si="12">+B8</f>
        <v>Stoklar</v>
      </c>
      <c r="C50" s="98">
        <f t="shared" si="12"/>
        <v>1303.931</v>
      </c>
      <c r="D50" s="98">
        <f t="shared" ref="D50:J50" si="13">+D8</f>
        <v>906.78599999999994</v>
      </c>
      <c r="E50" s="98">
        <f t="shared" si="13"/>
        <v>987.52599999999995</v>
      </c>
      <c r="F50" s="98">
        <f t="shared" si="13"/>
        <v>1530.1410000000001</v>
      </c>
      <c r="G50" s="98">
        <f t="shared" si="13"/>
        <v>1599.6579999999999</v>
      </c>
      <c r="H50" s="98">
        <f t="shared" si="13"/>
        <v>1988.373</v>
      </c>
      <c r="I50" s="98">
        <f t="shared" si="13"/>
        <v>2124.9459999999999</v>
      </c>
      <c r="J50" s="98">
        <f t="shared" si="13"/>
        <v>2140.0569999999998</v>
      </c>
    </row>
    <row r="51" spans="2:10" s="4" customFormat="1" ht="15" x14ac:dyDescent="0.25">
      <c r="B51" s="4" t="str">
        <f t="shared" si="12"/>
        <v>Diğer Dönen Varlıklar</v>
      </c>
      <c r="C51" s="98">
        <f t="shared" si="12"/>
        <v>103.17199999999957</v>
      </c>
      <c r="D51" s="98">
        <f t="shared" ref="D51:J51" si="14">+D9</f>
        <v>108.98000000000002</v>
      </c>
      <c r="E51" s="98">
        <f t="shared" si="14"/>
        <v>117.98400000000038</v>
      </c>
      <c r="F51" s="98">
        <f t="shared" si="14"/>
        <v>146.01699999999983</v>
      </c>
      <c r="G51" s="98">
        <f t="shared" si="14"/>
        <v>134.75400000000081</v>
      </c>
      <c r="H51" s="98">
        <f t="shared" si="14"/>
        <v>222.03000000000065</v>
      </c>
      <c r="I51" s="98">
        <f t="shared" si="14"/>
        <v>291.6919999999991</v>
      </c>
      <c r="J51" s="98">
        <f t="shared" si="14"/>
        <v>308.04300000000148</v>
      </c>
    </row>
    <row r="52" spans="2:10" s="4" customFormat="1" ht="15" x14ac:dyDescent="0.25">
      <c r="B52" s="4" t="s">
        <v>11</v>
      </c>
      <c r="C52" s="107">
        <f>+C20</f>
        <v>705.327</v>
      </c>
      <c r="D52" s="107">
        <f t="shared" ref="D52:J52" si="15">+D20</f>
        <v>762.40200000000004</v>
      </c>
      <c r="E52" s="107">
        <f t="shared" si="15"/>
        <v>968.96199999999999</v>
      </c>
      <c r="F52" s="107">
        <f t="shared" si="15"/>
        <v>1249.5309999999999</v>
      </c>
      <c r="G52" s="107">
        <f t="shared" si="15"/>
        <v>1175.8040000000001</v>
      </c>
      <c r="H52" s="107">
        <f t="shared" si="15"/>
        <v>1644.9</v>
      </c>
      <c r="I52" s="107">
        <f t="shared" si="15"/>
        <v>1781.442</v>
      </c>
      <c r="J52" s="107">
        <f t="shared" si="15"/>
        <v>2090.3939999999998</v>
      </c>
    </row>
    <row r="53" spans="2:10" s="4" customFormat="1" ht="15" x14ac:dyDescent="0.25">
      <c r="B53" s="4" t="s">
        <v>102</v>
      </c>
      <c r="C53" s="107">
        <f>+C21</f>
        <v>435.69100000000026</v>
      </c>
      <c r="D53" s="107">
        <f t="shared" ref="D53:J53" si="16">+D21</f>
        <v>492.83599999999979</v>
      </c>
      <c r="E53" s="107">
        <f t="shared" si="16"/>
        <v>533.56800000000021</v>
      </c>
      <c r="F53" s="107">
        <f t="shared" si="16"/>
        <v>651.95100000000002</v>
      </c>
      <c r="G53" s="107">
        <f t="shared" si="16"/>
        <v>625.8720000000003</v>
      </c>
      <c r="H53" s="107">
        <f t="shared" si="16"/>
        <v>758.36700000000019</v>
      </c>
      <c r="I53" s="107">
        <f t="shared" si="16"/>
        <v>842.92699999999968</v>
      </c>
      <c r="J53" s="107">
        <f t="shared" si="16"/>
        <v>957.89800000000014</v>
      </c>
    </row>
    <row r="54" spans="2:10" s="4" customFormat="1" ht="15" x14ac:dyDescent="0.25">
      <c r="B54" s="99" t="s">
        <v>983</v>
      </c>
      <c r="C54" s="1273">
        <f>+Duz!D29</f>
        <v>-25.593000000000004</v>
      </c>
      <c r="D54" s="1273">
        <f>+Duz!E29</f>
        <v>-53.691999999999993</v>
      </c>
      <c r="E54" s="1273">
        <f>+Duz!F29</f>
        <v>-89.305000000000007</v>
      </c>
      <c r="F54" s="1273">
        <f>+Duz!G29</f>
        <v>-162.755</v>
      </c>
      <c r="G54" s="1273">
        <f>+Duz!H29</f>
        <v>-150.43799999999999</v>
      </c>
      <c r="H54" s="1273">
        <f>+Duz!I29</f>
        <v>-154.85599999999999</v>
      </c>
      <c r="I54" s="1273">
        <f>+Duz!J29</f>
        <v>-168.06900000000002</v>
      </c>
      <c r="J54" s="1273">
        <f>+Duz!K29</f>
        <v>49.012</v>
      </c>
    </row>
    <row r="55" spans="2:10" x14ac:dyDescent="0.25">
      <c r="B55" s="1198" t="s">
        <v>980</v>
      </c>
      <c r="C55" s="1199">
        <f t="shared" ref="C55:J55" si="17">+SUM(C49:C51)-SUM(C52:C53)+C54</f>
        <v>2885.4189999999999</v>
      </c>
      <c r="D55" s="1199">
        <f t="shared" si="17"/>
        <v>1939.8470000000002</v>
      </c>
      <c r="E55" s="1199">
        <f t="shared" si="17"/>
        <v>1838.2529999999999</v>
      </c>
      <c r="F55" s="1199">
        <f t="shared" si="17"/>
        <v>2792.7910000000002</v>
      </c>
      <c r="G55" s="1199">
        <f t="shared" si="17"/>
        <v>3043.7750000000005</v>
      </c>
      <c r="H55" s="1199">
        <f t="shared" si="17"/>
        <v>3834.420000000001</v>
      </c>
      <c r="I55" s="1199">
        <f t="shared" si="17"/>
        <v>4058.0979999999995</v>
      </c>
      <c r="J55" s="1199">
        <f t="shared" si="17"/>
        <v>4239.3450000000003</v>
      </c>
    </row>
    <row r="57" spans="2:10" ht="20.45" customHeight="1" x14ac:dyDescent="0.45">
      <c r="B57" s="2064" t="s">
        <v>998</v>
      </c>
      <c r="C57" s="2059" t="s">
        <v>942</v>
      </c>
      <c r="D57" s="2059"/>
      <c r="E57" s="2059"/>
      <c r="F57" s="2059"/>
      <c r="G57" s="2059"/>
      <c r="H57" s="2059"/>
      <c r="I57" s="2059"/>
      <c r="J57" s="2059"/>
    </row>
    <row r="58" spans="2:10" ht="21" customHeight="1" thickBot="1" x14ac:dyDescent="0.3">
      <c r="B58" s="2065"/>
      <c r="C58" s="1184" t="str">
        <f>+C48</f>
        <v>2008/12</v>
      </c>
      <c r="D58" s="1184" t="str">
        <f t="shared" ref="D58:J58" si="18">+D48</f>
        <v>2009/12</v>
      </c>
      <c r="E58" s="1184" t="str">
        <f t="shared" si="18"/>
        <v>2010/12</v>
      </c>
      <c r="F58" s="1184" t="str">
        <f t="shared" si="18"/>
        <v>2011/12</v>
      </c>
      <c r="G58" s="1184" t="str">
        <f t="shared" si="18"/>
        <v>2012/12</v>
      </c>
      <c r="H58" s="1184" t="str">
        <f t="shared" si="18"/>
        <v>2013/12</v>
      </c>
      <c r="I58" s="1184" t="str">
        <f t="shared" si="18"/>
        <v>2014/12</v>
      </c>
      <c r="J58" s="1184" t="str">
        <f t="shared" si="18"/>
        <v>2015/12</v>
      </c>
    </row>
    <row r="59" spans="2:10" ht="15" x14ac:dyDescent="0.25">
      <c r="B59" s="4" t="str">
        <f>+B49</f>
        <v>Kısa Vadeli Ticari Alacaklar</v>
      </c>
      <c r="C59" s="1274">
        <f>+C49/$C$38</f>
        <v>0.39036413049413943</v>
      </c>
      <c r="D59" s="1274">
        <f>+D49/$D$38</f>
        <v>0.33875099648887003</v>
      </c>
      <c r="E59" s="1274">
        <f>+E49/$E$38</f>
        <v>0.3351264773471041</v>
      </c>
      <c r="F59" s="1274">
        <f>+F49/$F$38</f>
        <v>0.37700366197994389</v>
      </c>
      <c r="G59" s="1274">
        <f>+G49/$G$38</f>
        <v>0.30894382335809856</v>
      </c>
      <c r="H59" s="1274">
        <f>+H49/$H$38</f>
        <v>0.37684708134857725</v>
      </c>
      <c r="I59" s="1274">
        <f>+I49/$I$38</f>
        <v>0.35431407284925653</v>
      </c>
      <c r="J59" s="1274">
        <f>+J49/$J$38</f>
        <v>0.33816823261165735</v>
      </c>
    </row>
    <row r="60" spans="2:10" ht="15" x14ac:dyDescent="0.25">
      <c r="B60" s="4" t="str">
        <f t="shared" ref="B60:B64" si="19">+B50</f>
        <v>Stoklar</v>
      </c>
      <c r="C60" s="1274">
        <f t="shared" ref="C60:C64" si="20">+C50/$C$38</f>
        <v>0.19244685809451592</v>
      </c>
      <c r="D60" s="1274">
        <f t="shared" ref="D60:D64" si="21">+D50/$D$38</f>
        <v>0.13756074694757728</v>
      </c>
      <c r="E60" s="1274">
        <f t="shared" ref="E60:E64" si="22">+E50/$E$38</f>
        <v>0.14236825336412731</v>
      </c>
      <c r="F60" s="1274">
        <f t="shared" ref="F60:F64" si="23">+F50/$F$38</f>
        <v>0.18135565437935328</v>
      </c>
      <c r="G60" s="1274">
        <f t="shared" ref="G60:G64" si="24">+G50/$G$38</f>
        <v>0.1515278073662237</v>
      </c>
      <c r="H60" s="1274">
        <f t="shared" ref="H60:H64" si="25">+H50/$H$38</f>
        <v>0.17916965039006694</v>
      </c>
      <c r="I60" s="1274">
        <f t="shared" ref="I60:I64" si="26">+I50/$I$38</f>
        <v>0.16980505005860222</v>
      </c>
      <c r="J60" s="1274">
        <f t="shared" ref="J60:J64" si="27">+J50/$J$38</f>
        <v>0.15106888981441607</v>
      </c>
    </row>
    <row r="61" spans="2:10" ht="15" x14ac:dyDescent="0.25">
      <c r="B61" s="4" t="str">
        <f t="shared" si="19"/>
        <v>Diğer Dönen Varlıklar</v>
      </c>
      <c r="C61" s="1274">
        <f t="shared" si="20"/>
        <v>1.5227130303158152E-2</v>
      </c>
      <c r="D61" s="1274">
        <f t="shared" si="21"/>
        <v>1.65324235291976E-2</v>
      </c>
      <c r="E61" s="1274">
        <f t="shared" si="22"/>
        <v>1.7009350644857198E-2</v>
      </c>
      <c r="F61" s="1274">
        <f t="shared" si="23"/>
        <v>1.7306253858637859E-2</v>
      </c>
      <c r="G61" s="1274">
        <f t="shared" si="24"/>
        <v>1.2764589777207524E-2</v>
      </c>
      <c r="H61" s="1274">
        <f t="shared" si="25"/>
        <v>2.0006828435161148E-2</v>
      </c>
      <c r="I61" s="1274">
        <f t="shared" si="26"/>
        <v>2.330919216850388E-2</v>
      </c>
      <c r="J61" s="1274">
        <f t="shared" si="27"/>
        <v>2.1745081567968706E-2</v>
      </c>
    </row>
    <row r="62" spans="2:10" ht="15" x14ac:dyDescent="0.25">
      <c r="B62" s="4" t="str">
        <f t="shared" si="19"/>
        <v>Ticari Borçlar</v>
      </c>
      <c r="C62" s="1274">
        <f t="shared" si="20"/>
        <v>0.10409903981056561</v>
      </c>
      <c r="D62" s="1274">
        <f t="shared" si="21"/>
        <v>0.11565748544235004</v>
      </c>
      <c r="E62" s="1274">
        <f t="shared" si="22"/>
        <v>0.13969194483609701</v>
      </c>
      <c r="F62" s="1274">
        <f t="shared" si="23"/>
        <v>0.14809714410128716</v>
      </c>
      <c r="G62" s="1274">
        <f t="shared" si="24"/>
        <v>0.11137818334446195</v>
      </c>
      <c r="H62" s="1274">
        <f t="shared" si="25"/>
        <v>0.14821975450613195</v>
      </c>
      <c r="I62" s="1274">
        <f t="shared" si="26"/>
        <v>0.14235554596987238</v>
      </c>
      <c r="J62" s="1274">
        <f t="shared" si="27"/>
        <v>0.14756312605445393</v>
      </c>
    </row>
    <row r="63" spans="2:10" ht="15" x14ac:dyDescent="0.25">
      <c r="B63" s="4" t="str">
        <f t="shared" si="19"/>
        <v>Diğer Kısa Vadeli Borçlar</v>
      </c>
      <c r="C63" s="1274">
        <f t="shared" si="20"/>
        <v>6.4303528369260163E-2</v>
      </c>
      <c r="D63" s="1274">
        <f t="shared" si="21"/>
        <v>7.4763933588141152E-2</v>
      </c>
      <c r="E63" s="1274">
        <f t="shared" si="22"/>
        <v>7.6922677692527294E-2</v>
      </c>
      <c r="F63" s="1274">
        <f t="shared" si="23"/>
        <v>7.7270656905653615E-2</v>
      </c>
      <c r="G63" s="1274">
        <f t="shared" si="24"/>
        <v>5.9285804748210692E-2</v>
      </c>
      <c r="H63" s="1274">
        <f t="shared" si="25"/>
        <v>6.8335443227887288E-2</v>
      </c>
      <c r="I63" s="1274">
        <f t="shared" si="26"/>
        <v>6.7358540607971848E-2</v>
      </c>
      <c r="J63" s="1274">
        <f t="shared" si="27"/>
        <v>6.7619034173131642E-2</v>
      </c>
    </row>
    <row r="64" spans="2:10" ht="15" x14ac:dyDescent="0.25">
      <c r="B64" s="4" t="str">
        <f t="shared" si="19"/>
        <v>Operasyonel Net Ertelenmiş Vergi Varlığı/Yüküm.</v>
      </c>
      <c r="C64" s="1274">
        <f t="shared" si="20"/>
        <v>-3.777264624595125E-3</v>
      </c>
      <c r="D64" s="1274">
        <f t="shared" si="21"/>
        <v>-8.1451540110999924E-3</v>
      </c>
      <c r="E64" s="1274">
        <f t="shared" si="22"/>
        <v>-1.2874797085528271E-2</v>
      </c>
      <c r="F64" s="1274">
        <f t="shared" si="23"/>
        <v>-1.9290078187900093E-2</v>
      </c>
      <c r="G64" s="1274">
        <f t="shared" si="24"/>
        <v>-1.4250258670640826E-2</v>
      </c>
      <c r="H64" s="1274">
        <f t="shared" si="25"/>
        <v>-1.3953868504955662E-2</v>
      </c>
      <c r="I64" s="1274">
        <f t="shared" si="26"/>
        <v>-1.3430442448090078E-2</v>
      </c>
      <c r="J64" s="1274">
        <f t="shared" si="27"/>
        <v>3.4598089805945179E-3</v>
      </c>
    </row>
    <row r="65" spans="2:10" x14ac:dyDescent="0.25">
      <c r="B65" s="1198" t="s">
        <v>980</v>
      </c>
      <c r="C65" s="1275">
        <f t="shared" ref="C65:J65" si="28">+SUM(C59:C61)-SUM(C62:C63)+C64</f>
        <v>0.42585828608739257</v>
      </c>
      <c r="D65" s="1275">
        <f t="shared" si="28"/>
        <v>0.29427759392405373</v>
      </c>
      <c r="E65" s="1275">
        <f t="shared" si="28"/>
        <v>0.26501466174193605</v>
      </c>
      <c r="F65" s="1275">
        <f t="shared" si="28"/>
        <v>0.33100769102309413</v>
      </c>
      <c r="G65" s="1275">
        <f t="shared" si="28"/>
        <v>0.28832197373821633</v>
      </c>
      <c r="H65" s="1275">
        <f t="shared" si="28"/>
        <v>0.34551449393483041</v>
      </c>
      <c r="I65" s="1275">
        <f t="shared" si="28"/>
        <v>0.3242837860504284</v>
      </c>
      <c r="J65" s="1275">
        <f t="shared" si="28"/>
        <v>0.29925985274705108</v>
      </c>
    </row>
    <row r="67" spans="2:10" ht="21" x14ac:dyDescent="0.45">
      <c r="B67" s="2064" t="s">
        <v>999</v>
      </c>
      <c r="C67" s="2059" t="s">
        <v>942</v>
      </c>
      <c r="D67" s="2059"/>
      <c r="E67" s="2059"/>
      <c r="F67" s="2059"/>
      <c r="G67" s="2059"/>
      <c r="H67" s="2059"/>
      <c r="I67" s="2059"/>
      <c r="J67" s="2059"/>
    </row>
    <row r="68" spans="2:10" ht="15.75" thickBot="1" x14ac:dyDescent="0.3">
      <c r="B68" s="2065"/>
      <c r="C68" s="1184" t="str">
        <f>+C58</f>
        <v>2008/12</v>
      </c>
      <c r="D68" s="1184" t="str">
        <f t="shared" ref="D68:J68" si="29">+D58</f>
        <v>2009/12</v>
      </c>
      <c r="E68" s="1184" t="str">
        <f t="shared" si="29"/>
        <v>2010/12</v>
      </c>
      <c r="F68" s="1184" t="str">
        <f t="shared" si="29"/>
        <v>2011/12</v>
      </c>
      <c r="G68" s="1184" t="str">
        <f t="shared" si="29"/>
        <v>2012/12</v>
      </c>
      <c r="H68" s="1184" t="str">
        <f t="shared" si="29"/>
        <v>2013/12</v>
      </c>
      <c r="I68" s="1184" t="str">
        <f t="shared" si="29"/>
        <v>2014/12</v>
      </c>
      <c r="J68" s="1184" t="str">
        <f t="shared" si="29"/>
        <v>2015/12</v>
      </c>
    </row>
    <row r="69" spans="2:10" ht="15" x14ac:dyDescent="0.25">
      <c r="B69" s="4" t="str">
        <f>+B59</f>
        <v>Kısa Vadeli Ticari Alacaklar</v>
      </c>
      <c r="C69" s="1274">
        <f>+C49/$C$39</f>
        <v>0.53919868582746955</v>
      </c>
      <c r="D69" s="1274">
        <f>+D49/$D$39</f>
        <v>0.5054471680158773</v>
      </c>
      <c r="E69" s="1274">
        <f>+E49/$E$39</f>
        <v>0.47747579169074161</v>
      </c>
      <c r="F69" s="1274">
        <f>+F49/$F$39</f>
        <v>0.53940395885439552</v>
      </c>
      <c r="G69" s="1274">
        <f>+G49/$G$39</f>
        <v>0.43468833366386667</v>
      </c>
      <c r="H69" s="1274">
        <f>+H49/$H$39</f>
        <v>0.54247803245056703</v>
      </c>
      <c r="I69" s="1274">
        <f>+I49/$I$39</f>
        <v>0.51948372393339071</v>
      </c>
      <c r="J69" s="1274">
        <f>+J49/$J$39</f>
        <v>0.4974477703334933</v>
      </c>
    </row>
    <row r="70" spans="2:10" ht="15" x14ac:dyDescent="0.25">
      <c r="B70" s="4" t="str">
        <f t="shared" ref="B70:B74" si="30">+B60</f>
        <v>Stoklar</v>
      </c>
      <c r="C70" s="1274">
        <f t="shared" ref="C70:C74" si="31">+C50/$C$39</f>
        <v>0.26582128036414548</v>
      </c>
      <c r="D70" s="1274">
        <f t="shared" ref="D70:D74" si="32">+D50/$D$39</f>
        <v>0.2052530935568366</v>
      </c>
      <c r="E70" s="1274">
        <f t="shared" ref="E70:E74" si="33">+E50/$E$39</f>
        <v>0.20284101400993698</v>
      </c>
      <c r="F70" s="1274">
        <f t="shared" ref="F70:F74" si="34">+F50/$F$39</f>
        <v>0.25947747408898308</v>
      </c>
      <c r="G70" s="1274">
        <f t="shared" ref="G70:G74" si="35">+G50/$G$39</f>
        <v>0.21320177037951629</v>
      </c>
      <c r="H70" s="1274">
        <f t="shared" ref="H70:H74" si="36">+H50/$H$39</f>
        <v>0.25791787764585389</v>
      </c>
      <c r="I70" s="1274">
        <f t="shared" ref="I70:I74" si="37">+I50/$I$39</f>
        <v>0.2489626196266497</v>
      </c>
      <c r="J70" s="1274">
        <f t="shared" ref="J70:J74" si="38">+J50/$J$39</f>
        <v>0.22222336446142849</v>
      </c>
    </row>
    <row r="71" spans="2:10" ht="15" x14ac:dyDescent="0.25">
      <c r="B71" s="4" t="str">
        <f t="shared" si="30"/>
        <v>Diğer Dönen Varlıklar</v>
      </c>
      <c r="C71" s="1274">
        <f t="shared" si="31"/>
        <v>2.1032794785712974E-2</v>
      </c>
      <c r="D71" s="1274">
        <f t="shared" si="32"/>
        <v>2.4667873275308682E-2</v>
      </c>
      <c r="E71" s="1274">
        <f t="shared" si="33"/>
        <v>2.423429276489782E-2</v>
      </c>
      <c r="F71" s="1274">
        <f t="shared" si="34"/>
        <v>2.4761196735497575E-2</v>
      </c>
      <c r="G71" s="1274">
        <f t="shared" si="35"/>
        <v>1.7959958544714879E-2</v>
      </c>
      <c r="H71" s="1274">
        <f t="shared" si="36"/>
        <v>2.8800183051021666E-2</v>
      </c>
      <c r="I71" s="1274">
        <f t="shared" si="37"/>
        <v>3.417517642525339E-2</v>
      </c>
      <c r="J71" s="1274">
        <f t="shared" si="38"/>
        <v>3.19871628927604E-2</v>
      </c>
    </row>
    <row r="72" spans="2:10" ht="15" x14ac:dyDescent="0.25">
      <c r="B72" s="4" t="str">
        <f t="shared" si="30"/>
        <v>Ticari Borçlar</v>
      </c>
      <c r="C72" s="1274">
        <f t="shared" si="31"/>
        <v>0.1437889936011964</v>
      </c>
      <c r="D72" s="1274">
        <f t="shared" si="32"/>
        <v>0.17257144357535226</v>
      </c>
      <c r="E72" s="1274">
        <f t="shared" si="33"/>
        <v>0.19902790875085474</v>
      </c>
      <c r="F72" s="1274">
        <f t="shared" si="34"/>
        <v>0.21189233389333473</v>
      </c>
      <c r="G72" s="1274">
        <f t="shared" si="35"/>
        <v>0.15671068092011967</v>
      </c>
      <c r="H72" s="1274">
        <f t="shared" si="36"/>
        <v>0.21336495563944241</v>
      </c>
      <c r="I72" s="1274">
        <f t="shared" si="37"/>
        <v>0.20871705306061336</v>
      </c>
      <c r="J72" s="1274">
        <f t="shared" si="38"/>
        <v>0.21706636212492625</v>
      </c>
    </row>
    <row r="73" spans="2:10" ht="15" x14ac:dyDescent="0.25">
      <c r="B73" s="4" t="str">
        <f t="shared" si="30"/>
        <v>Diğer Kısa Vadeli Borçlar</v>
      </c>
      <c r="C73" s="1274">
        <f t="shared" si="31"/>
        <v>8.8820604359536648E-2</v>
      </c>
      <c r="D73" s="1274">
        <f t="shared" si="32"/>
        <v>0.11155456041025896</v>
      </c>
      <c r="E73" s="1274">
        <f t="shared" si="33"/>
        <v>0.10959658192620154</v>
      </c>
      <c r="F73" s="1274">
        <f t="shared" si="34"/>
        <v>0.11055621587146976</v>
      </c>
      <c r="G73" s="1274">
        <f t="shared" si="35"/>
        <v>8.3415966682233764E-2</v>
      </c>
      <c r="H73" s="1274">
        <f t="shared" si="36"/>
        <v>9.8370078006819295E-2</v>
      </c>
      <c r="I73" s="1274">
        <f t="shared" si="37"/>
        <v>9.8758892731407241E-2</v>
      </c>
      <c r="J73" s="1274">
        <f t="shared" si="38"/>
        <v>9.946805920163504E-2</v>
      </c>
    </row>
    <row r="74" spans="2:10" ht="15" x14ac:dyDescent="0.25">
      <c r="B74" s="4" t="str">
        <f t="shared" si="30"/>
        <v>Operasyonel Net Ertelenmiş Vergi Varlığı/Yüküm.</v>
      </c>
      <c r="C74" s="1274">
        <f t="shared" si="31"/>
        <v>-5.2174264039735047E-3</v>
      </c>
      <c r="D74" s="1274">
        <f t="shared" si="32"/>
        <v>-1.2153307505027284E-2</v>
      </c>
      <c r="E74" s="1274">
        <f t="shared" si="33"/>
        <v>-1.8343533999264246E-2</v>
      </c>
      <c r="F74" s="1274">
        <f t="shared" si="34"/>
        <v>-2.7599584806467143E-2</v>
      </c>
      <c r="G74" s="1274">
        <f t="shared" si="35"/>
        <v>-2.0050315712704634E-2</v>
      </c>
      <c r="H74" s="1274">
        <f t="shared" si="36"/>
        <v>-2.0086840276309498E-2</v>
      </c>
      <c r="I74" s="1274">
        <f t="shared" si="37"/>
        <v>-1.9691276163267865E-2</v>
      </c>
      <c r="J74" s="1274">
        <f t="shared" si="38"/>
        <v>5.0894025434759602E-3</v>
      </c>
    </row>
    <row r="75" spans="2:10" x14ac:dyDescent="0.25">
      <c r="B75" s="1198" t="s">
        <v>980</v>
      </c>
      <c r="C75" s="1275">
        <f t="shared" ref="C75:J75" si="39">+SUM(C69:C71)-SUM(C72:C73)+C74</f>
        <v>0.58822573661262156</v>
      </c>
      <c r="D75" s="1275">
        <f t="shared" si="39"/>
        <v>0.43908882335738414</v>
      </c>
      <c r="E75" s="1275">
        <f t="shared" si="39"/>
        <v>0.37758307378925587</v>
      </c>
      <c r="F75" s="1275">
        <f t="shared" si="39"/>
        <v>0.4735944951076046</v>
      </c>
      <c r="G75" s="1275">
        <f t="shared" si="39"/>
        <v>0.40567309927303979</v>
      </c>
      <c r="H75" s="1275">
        <f t="shared" si="39"/>
        <v>0.49737421922487135</v>
      </c>
      <c r="I75" s="1275">
        <f t="shared" si="39"/>
        <v>0.47545429803000527</v>
      </c>
      <c r="J75" s="1275">
        <f t="shared" si="39"/>
        <v>0.44021327890459688</v>
      </c>
    </row>
    <row r="1048459" spans="2:15" s="2" customFormat="1" x14ac:dyDescent="0.25">
      <c r="B1048459" s="1" t="s">
        <v>990</v>
      </c>
      <c r="K1048459" s="1"/>
      <c r="L1048459" s="1"/>
      <c r="M1048459" s="1"/>
      <c r="N1048459" s="1"/>
      <c r="O1048459" s="1"/>
    </row>
  </sheetData>
  <mergeCells count="10">
    <mergeCell ref="B67:B68"/>
    <mergeCell ref="C67:J67"/>
    <mergeCell ref="B47:B48"/>
    <mergeCell ref="C47:J47"/>
    <mergeCell ref="B2:B3"/>
    <mergeCell ref="C2:J2"/>
    <mergeCell ref="B36:B37"/>
    <mergeCell ref="C36:J36"/>
    <mergeCell ref="B57:B58"/>
    <mergeCell ref="C57:J5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ayfa7">
    <tabColor rgb="FFFF0000"/>
  </sheetPr>
  <dimension ref="B2:Y48"/>
  <sheetViews>
    <sheetView topLeftCell="A16" zoomScale="84" zoomScaleNormal="84" workbookViewId="0">
      <selection activeCell="H47" sqref="H47"/>
    </sheetView>
  </sheetViews>
  <sheetFormatPr defaultColWidth="9.140625" defaultRowHeight="15" x14ac:dyDescent="0.25"/>
  <cols>
    <col min="1" max="1" width="3.7109375" style="99" customWidth="1"/>
    <col min="2" max="2" width="1.28515625" style="99" customWidth="1"/>
    <col min="3" max="3" width="46.28515625" style="99" customWidth="1"/>
    <col min="4" max="11" width="8.85546875" style="689" bestFit="1" customWidth="1"/>
    <col min="12" max="20" width="7.42578125" style="99" customWidth="1"/>
    <col min="21" max="23" width="9.140625" style="99"/>
    <col min="24" max="24" width="1.28515625" style="99" hidden="1" customWidth="1"/>
    <col min="25" max="25" width="45.42578125" style="99" hidden="1" customWidth="1"/>
    <col min="26" max="16384" width="9.140625" style="99"/>
  </cols>
  <sheetData>
    <row r="2" spans="2:25" ht="21" x14ac:dyDescent="0.45">
      <c r="B2" s="1193" t="s">
        <v>975</v>
      </c>
      <c r="C2" s="1189"/>
      <c r="D2" s="2059" t="s">
        <v>942</v>
      </c>
      <c r="E2" s="2059"/>
      <c r="F2" s="2059"/>
      <c r="G2" s="2059"/>
      <c r="H2" s="2059"/>
      <c r="I2" s="2059"/>
      <c r="J2" s="2059"/>
      <c r="K2" s="2059"/>
    </row>
    <row r="3" spans="2:25" ht="15.75" thickBot="1" x14ac:dyDescent="0.3">
      <c r="B3" s="1195" t="s">
        <v>976</v>
      </c>
      <c r="C3" s="1195"/>
      <c r="D3" s="1196" t="str">
        <f>+Mali!C3</f>
        <v>2008/12</v>
      </c>
      <c r="E3" s="1196" t="str">
        <f>+Mali!D3</f>
        <v>2009/12</v>
      </c>
      <c r="F3" s="1196" t="str">
        <f>+Mali!E3</f>
        <v>2010/12</v>
      </c>
      <c r="G3" s="1196" t="str">
        <f>+Mali!F3</f>
        <v>2011/12</v>
      </c>
      <c r="H3" s="1196" t="str">
        <f>+Mali!G3</f>
        <v>2012/12</v>
      </c>
      <c r="I3" s="1196" t="str">
        <f>+Mali!H3</f>
        <v>2013/12</v>
      </c>
      <c r="J3" s="1196" t="str">
        <f>+Mali!I3</f>
        <v>2014/12</v>
      </c>
      <c r="K3" s="1196" t="str">
        <f>+Mali!J3</f>
        <v>2015/12</v>
      </c>
      <c r="X3" s="1178"/>
      <c r="Y3" s="1178"/>
    </row>
    <row r="4" spans="2:25" s="240" customFormat="1" ht="15.75" thickTop="1" x14ac:dyDescent="0.25">
      <c r="B4" s="829" t="s">
        <v>950</v>
      </c>
      <c r="C4" s="829"/>
      <c r="D4" s="1190">
        <f>+Mali!C63</f>
        <v>439.58899999999926</v>
      </c>
      <c r="E4" s="1190">
        <f>+Mali!D63</f>
        <v>694.19300000000067</v>
      </c>
      <c r="F4" s="1190">
        <f>+Mali!E63</f>
        <v>565.57500000000005</v>
      </c>
      <c r="G4" s="1190">
        <f>+Mali!F63</f>
        <v>658.55699999999956</v>
      </c>
      <c r="H4" s="1190">
        <f>+Mali!G63</f>
        <v>770.01100000000042</v>
      </c>
      <c r="I4" s="1190">
        <f>+Mali!H63</f>
        <v>861.14699999999948</v>
      </c>
      <c r="J4" s="1190">
        <f>+Mali!I63</f>
        <v>987.74100000000044</v>
      </c>
      <c r="K4" s="1190">
        <f>+Mali!J63</f>
        <v>1086.6379999999999</v>
      </c>
      <c r="L4" s="99"/>
      <c r="M4" s="99"/>
      <c r="N4" s="99"/>
      <c r="O4" s="99"/>
      <c r="P4" s="99"/>
      <c r="Q4" s="99"/>
      <c r="R4" s="99"/>
      <c r="S4" s="99"/>
      <c r="T4" s="99"/>
      <c r="X4" s="829" t="s">
        <v>405</v>
      </c>
      <c r="Y4" s="829"/>
    </row>
    <row r="5" spans="2:25" x14ac:dyDescent="0.25">
      <c r="B5" s="138" t="s">
        <v>972</v>
      </c>
      <c r="C5" s="138"/>
      <c r="D5" s="1191">
        <f>+Mali!C64</f>
        <v>166.09</v>
      </c>
      <c r="E5" s="1191">
        <f>+Mali!D64</f>
        <v>181.553</v>
      </c>
      <c r="F5" s="1191">
        <f>+Mali!E64</f>
        <v>192.53800000000001</v>
      </c>
      <c r="G5" s="1191">
        <f>+Mali!F64</f>
        <v>217.834</v>
      </c>
      <c r="H5" s="1191">
        <f>+Mali!G64</f>
        <v>260.78800000000001</v>
      </c>
      <c r="I5" s="1191">
        <f>+Mali!H64</f>
        <v>302.18099999999998</v>
      </c>
      <c r="J5" s="1191">
        <f>+Mali!I64</f>
        <v>346.29300000000001</v>
      </c>
      <c r="K5" s="1191">
        <f>+Mali!J64</f>
        <v>369.82299999999998</v>
      </c>
      <c r="X5" s="138" t="s">
        <v>209</v>
      </c>
      <c r="Y5" s="138"/>
    </row>
    <row r="6" spans="2:25" x14ac:dyDescent="0.25">
      <c r="B6" s="829" t="s">
        <v>973</v>
      </c>
      <c r="C6" s="829"/>
      <c r="D6" s="1190">
        <f>+D4+D5</f>
        <v>605.67899999999929</v>
      </c>
      <c r="E6" s="1190">
        <f>+E4+E5</f>
        <v>875.74600000000066</v>
      </c>
      <c r="F6" s="1190">
        <f t="shared" ref="F6:K6" si="0">+F4+F5</f>
        <v>758.11300000000006</v>
      </c>
      <c r="G6" s="1190">
        <f t="shared" si="0"/>
        <v>876.39099999999962</v>
      </c>
      <c r="H6" s="1190">
        <f t="shared" si="0"/>
        <v>1030.7990000000004</v>
      </c>
      <c r="I6" s="1190">
        <f t="shared" si="0"/>
        <v>1163.3279999999995</v>
      </c>
      <c r="J6" s="1190">
        <f t="shared" si="0"/>
        <v>1334.0340000000006</v>
      </c>
      <c r="K6" s="1190">
        <f t="shared" si="0"/>
        <v>1456.4609999999998</v>
      </c>
      <c r="X6" s="829" t="s">
        <v>229</v>
      </c>
      <c r="Y6" s="829"/>
    </row>
    <row r="7" spans="2:25" x14ac:dyDescent="0.25">
      <c r="B7" s="830" t="s">
        <v>974</v>
      </c>
      <c r="C7" s="830"/>
      <c r="D7" s="638">
        <f>+SUM(D8:D15)</f>
        <v>0</v>
      </c>
      <c r="E7" s="638">
        <f>+SUM(E8:E15)</f>
        <v>0</v>
      </c>
      <c r="F7" s="638">
        <f t="shared" ref="F7:K7" si="1">+SUM(F8:F15)</f>
        <v>0</v>
      </c>
      <c r="G7" s="638">
        <f t="shared" si="1"/>
        <v>0</v>
      </c>
      <c r="H7" s="638">
        <f t="shared" si="1"/>
        <v>0</v>
      </c>
      <c r="I7" s="638">
        <f t="shared" si="1"/>
        <v>0</v>
      </c>
      <c r="J7" s="638">
        <f t="shared" si="1"/>
        <v>0</v>
      </c>
      <c r="K7" s="638">
        <f t="shared" si="1"/>
        <v>0</v>
      </c>
      <c r="X7" s="830" t="s">
        <v>866</v>
      </c>
      <c r="Y7" s="830"/>
    </row>
    <row r="8" spans="2:25" x14ac:dyDescent="0.25">
      <c r="B8" s="522"/>
      <c r="C8" s="138" t="s">
        <v>864</v>
      </c>
      <c r="D8" s="1192"/>
      <c r="E8" s="1192"/>
      <c r="F8" s="1192"/>
      <c r="G8" s="1192"/>
      <c r="H8" s="1192"/>
      <c r="I8" s="1192"/>
      <c r="J8" s="1192"/>
      <c r="K8" s="1192"/>
      <c r="X8" s="522"/>
      <c r="Y8" s="138" t="s">
        <v>864</v>
      </c>
    </row>
    <row r="9" spans="2:25" x14ac:dyDescent="0.25">
      <c r="B9" s="522"/>
      <c r="C9" s="138" t="s">
        <v>865</v>
      </c>
      <c r="D9" s="1192"/>
      <c r="E9" s="1192"/>
      <c r="F9" s="1192"/>
      <c r="G9" s="1192"/>
      <c r="H9" s="1192"/>
      <c r="I9" s="1192"/>
      <c r="J9" s="1192"/>
      <c r="K9" s="1192"/>
      <c r="X9" s="522"/>
      <c r="Y9" s="138" t="s">
        <v>865</v>
      </c>
    </row>
    <row r="10" spans="2:25" x14ac:dyDescent="0.25">
      <c r="B10" s="522"/>
      <c r="C10" s="138" t="s">
        <v>867</v>
      </c>
      <c r="D10" s="1192"/>
      <c r="E10" s="1192"/>
      <c r="F10" s="1192"/>
      <c r="G10" s="1192"/>
      <c r="H10" s="1192"/>
      <c r="I10" s="1192"/>
      <c r="J10" s="1192"/>
      <c r="K10" s="1192"/>
      <c r="X10" s="522"/>
      <c r="Y10" s="138" t="s">
        <v>867</v>
      </c>
    </row>
    <row r="11" spans="2:25" x14ac:dyDescent="0.25">
      <c r="B11" s="522"/>
      <c r="C11" s="138" t="s">
        <v>868</v>
      </c>
      <c r="D11" s="1192"/>
      <c r="E11" s="1192"/>
      <c r="F11" s="1192"/>
      <c r="G11" s="1192"/>
      <c r="H11" s="1192"/>
      <c r="I11" s="1192"/>
      <c r="J11" s="1192"/>
      <c r="K11" s="1192"/>
      <c r="X11" s="522"/>
      <c r="Y11" s="138" t="s">
        <v>868</v>
      </c>
    </row>
    <row r="12" spans="2:25" x14ac:dyDescent="0.25">
      <c r="B12" s="522"/>
      <c r="C12" s="138" t="s">
        <v>869</v>
      </c>
      <c r="D12" s="1192"/>
      <c r="E12" s="1192"/>
      <c r="F12" s="1192"/>
      <c r="G12" s="1192"/>
      <c r="H12" s="1192"/>
      <c r="I12" s="1192"/>
      <c r="J12" s="1192"/>
      <c r="K12" s="1192"/>
      <c r="X12" s="522"/>
      <c r="Y12" s="138" t="s">
        <v>869</v>
      </c>
    </row>
    <row r="13" spans="2:25" x14ac:dyDescent="0.25">
      <c r="B13" s="522"/>
      <c r="C13" s="138" t="s">
        <v>231</v>
      </c>
      <c r="D13" s="1192"/>
      <c r="E13" s="1192"/>
      <c r="F13" s="1192"/>
      <c r="G13" s="1192"/>
      <c r="H13" s="1192"/>
      <c r="I13" s="1192"/>
      <c r="J13" s="1192"/>
      <c r="K13" s="1192"/>
      <c r="X13" s="522"/>
      <c r="Y13" s="138" t="s">
        <v>231</v>
      </c>
    </row>
    <row r="14" spans="2:25" x14ac:dyDescent="0.25">
      <c r="B14" s="522"/>
      <c r="C14" s="138" t="s">
        <v>231</v>
      </c>
      <c r="D14" s="1192"/>
      <c r="E14" s="1192"/>
      <c r="F14" s="1192"/>
      <c r="G14" s="1192"/>
      <c r="H14" s="1192"/>
      <c r="I14" s="1192"/>
      <c r="J14" s="1192"/>
      <c r="K14" s="1192"/>
      <c r="L14" s="536"/>
      <c r="M14" s="536"/>
      <c r="N14" s="536"/>
      <c r="O14" s="536"/>
      <c r="P14" s="536"/>
      <c r="Q14" s="536"/>
      <c r="R14" s="536"/>
      <c r="S14" s="536"/>
      <c r="T14" s="536"/>
      <c r="X14" s="522"/>
      <c r="Y14" s="138" t="s">
        <v>231</v>
      </c>
    </row>
    <row r="15" spans="2:25" x14ac:dyDescent="0.25">
      <c r="B15" s="522"/>
      <c r="C15" s="138" t="s">
        <v>231</v>
      </c>
      <c r="D15" s="1192"/>
      <c r="E15" s="1192"/>
      <c r="F15" s="1192"/>
      <c r="G15" s="1192"/>
      <c r="H15" s="1192"/>
      <c r="I15" s="1192"/>
      <c r="J15" s="1192"/>
      <c r="K15" s="1192"/>
      <c r="L15" s="536"/>
      <c r="M15" s="536"/>
      <c r="N15" s="536"/>
      <c r="O15" s="536"/>
      <c r="P15" s="536"/>
      <c r="Q15" s="536"/>
      <c r="R15" s="536"/>
      <c r="S15" s="536"/>
      <c r="T15" s="536"/>
      <c r="X15" s="522"/>
      <c r="Y15" s="138" t="s">
        <v>231</v>
      </c>
    </row>
    <row r="16" spans="2:25" x14ac:dyDescent="0.25">
      <c r="B16" s="829" t="s">
        <v>977</v>
      </c>
      <c r="C16" s="829"/>
      <c r="D16" s="1190">
        <f>+D6+D7</f>
        <v>605.67899999999929</v>
      </c>
      <c r="E16" s="1190">
        <f>+E6+E7</f>
        <v>875.74600000000066</v>
      </c>
      <c r="F16" s="1190">
        <f t="shared" ref="F16:K16" si="2">+F6+F7</f>
        <v>758.11300000000006</v>
      </c>
      <c r="G16" s="1190">
        <f t="shared" si="2"/>
        <v>876.39099999999962</v>
      </c>
      <c r="H16" s="1190">
        <f t="shared" si="2"/>
        <v>1030.7990000000004</v>
      </c>
      <c r="I16" s="1190">
        <f t="shared" si="2"/>
        <v>1163.3279999999995</v>
      </c>
      <c r="J16" s="1190">
        <f t="shared" si="2"/>
        <v>1334.0340000000006</v>
      </c>
      <c r="K16" s="1190">
        <f t="shared" si="2"/>
        <v>1456.4609999999998</v>
      </c>
      <c r="X16" s="829" t="s">
        <v>784</v>
      </c>
      <c r="Y16" s="829"/>
    </row>
    <row r="17" spans="2:13" x14ac:dyDescent="0.25">
      <c r="B17" s="829" t="s">
        <v>978</v>
      </c>
      <c r="C17" s="829"/>
      <c r="D17" s="1194">
        <f>+D16/Mali!C56</f>
        <v>8.9392015807453123E-2</v>
      </c>
      <c r="E17" s="1194">
        <f>+E16/Mali!D56</f>
        <v>0.13285193407965398</v>
      </c>
      <c r="F17" s="1194">
        <f>+F16/Mali!E56</f>
        <v>0.10929456405465644</v>
      </c>
      <c r="G17" s="1194">
        <f>+G16/Mali!F56</f>
        <v>0.10387177606323582</v>
      </c>
      <c r="H17" s="1194">
        <f>+H16/Mali!G56</f>
        <v>9.7642566289354416E-2</v>
      </c>
      <c r="I17" s="1194">
        <f>+I16/Mali!H56</f>
        <v>0.1048259411332661</v>
      </c>
      <c r="J17" s="1194">
        <f>+J16/Mali!I56</f>
        <v>0.10660304315962732</v>
      </c>
      <c r="K17" s="1194">
        <f>+K16/Mali!J56</f>
        <v>0.10281312428967745</v>
      </c>
    </row>
    <row r="19" spans="2:13" ht="21" x14ac:dyDescent="0.45">
      <c r="B19" s="1193"/>
      <c r="C19" s="1189"/>
      <c r="D19" s="2059" t="s">
        <v>942</v>
      </c>
      <c r="E19" s="2059"/>
      <c r="F19" s="2059"/>
      <c r="G19" s="2059"/>
      <c r="H19" s="2059"/>
      <c r="I19" s="2059"/>
      <c r="J19" s="2059"/>
      <c r="K19" s="2059"/>
    </row>
    <row r="20" spans="2:13" ht="16.5" thickBot="1" x14ac:dyDescent="0.3">
      <c r="B20" s="1201" t="s">
        <v>916</v>
      </c>
      <c r="C20" s="1195"/>
      <c r="D20" s="1196" t="s">
        <v>529</v>
      </c>
      <c r="E20" s="1196" t="s">
        <v>529</v>
      </c>
      <c r="F20" s="1196" t="s">
        <v>530</v>
      </c>
      <c r="G20" s="1196" t="s">
        <v>531</v>
      </c>
      <c r="H20" s="1196" t="s">
        <v>532</v>
      </c>
      <c r="I20" s="1196" t="s">
        <v>533</v>
      </c>
      <c r="J20" s="1196" t="s">
        <v>534</v>
      </c>
      <c r="K20" s="1196" t="s">
        <v>535</v>
      </c>
    </row>
    <row r="21" spans="2:13" ht="15.75" thickTop="1" x14ac:dyDescent="0.25">
      <c r="B21" s="1200" t="s">
        <v>981</v>
      </c>
      <c r="C21" s="715"/>
      <c r="D21" s="638">
        <f>+(Mali!C11+Mali!C21)-(Mali!C31+Mali!C40)</f>
        <v>-25.593000000000004</v>
      </c>
      <c r="E21" s="638">
        <f>+(Mali!D11+Mali!D21)-(Mali!D31+Mali!D40)</f>
        <v>-53.691999999999993</v>
      </c>
      <c r="F21" s="638">
        <f>+(Mali!E11+Mali!E21)-(Mali!E31+Mali!E40)</f>
        <v>-89.305000000000007</v>
      </c>
      <c r="G21" s="638">
        <f>+(Mali!F11+Mali!F21)-(Mali!F31+Mali!F40)</f>
        <v>-162.755</v>
      </c>
      <c r="H21" s="638">
        <f>+(Mali!G11+Mali!G21)-(Mali!G31+Mali!G40)</f>
        <v>-150.43799999999999</v>
      </c>
      <c r="I21" s="638">
        <f>+(Mali!H11+Mali!H21)-(Mali!H31+Mali!H40)</f>
        <v>-154.85599999999999</v>
      </c>
      <c r="J21" s="638">
        <f>+(Mali!I11+Mali!I21)-(Mali!I31+Mali!I40)</f>
        <v>-168.06900000000002</v>
      </c>
      <c r="K21" s="638">
        <f>+(Mali!J11+Mali!J21)-(Mali!J31+Mali!J40)</f>
        <v>49.012</v>
      </c>
    </row>
    <row r="22" spans="2:13" x14ac:dyDescent="0.25">
      <c r="B22" s="1200" t="s">
        <v>982</v>
      </c>
      <c r="C22" s="715"/>
      <c r="D22" s="638">
        <f>+SUM(D23:D28)</f>
        <v>0</v>
      </c>
      <c r="E22" s="638">
        <f>+SUM(E23:E28)</f>
        <v>0</v>
      </c>
      <c r="F22" s="638">
        <f t="shared" ref="F22:K22" si="3">+SUM(F23:F28)</f>
        <v>0</v>
      </c>
      <c r="G22" s="638">
        <f t="shared" si="3"/>
        <v>0</v>
      </c>
      <c r="H22" s="638">
        <f t="shared" si="3"/>
        <v>0</v>
      </c>
      <c r="I22" s="638">
        <f t="shared" si="3"/>
        <v>0</v>
      </c>
      <c r="J22" s="638">
        <f t="shared" si="3"/>
        <v>0</v>
      </c>
      <c r="K22" s="638">
        <f t="shared" si="3"/>
        <v>0</v>
      </c>
    </row>
    <row r="23" spans="2:13" x14ac:dyDescent="0.25">
      <c r="B23" s="715"/>
      <c r="C23" s="715" t="s">
        <v>128</v>
      </c>
      <c r="D23" s="1192"/>
      <c r="E23" s="1192"/>
      <c r="F23" s="1192"/>
      <c r="G23" s="1192"/>
      <c r="H23" s="1192"/>
      <c r="I23" s="1192"/>
      <c r="J23" s="1192"/>
      <c r="K23" s="1192"/>
    </row>
    <row r="24" spans="2:13" x14ac:dyDescent="0.25">
      <c r="B24" s="715"/>
      <c r="C24" s="715" t="s">
        <v>917</v>
      </c>
      <c r="D24" s="1192"/>
      <c r="E24" s="1192"/>
      <c r="F24" s="1192"/>
      <c r="G24" s="1192"/>
      <c r="H24" s="1192"/>
      <c r="I24" s="1192"/>
      <c r="J24" s="1192"/>
      <c r="K24" s="1192"/>
    </row>
    <row r="25" spans="2:13" x14ac:dyDescent="0.25">
      <c r="B25" s="715"/>
      <c r="C25" s="715" t="s">
        <v>231</v>
      </c>
      <c r="D25" s="1192"/>
      <c r="E25" s="1192"/>
      <c r="F25" s="1192"/>
      <c r="G25" s="1192"/>
      <c r="H25" s="1192"/>
      <c r="I25" s="1192"/>
      <c r="J25" s="1192"/>
      <c r="K25" s="1192"/>
    </row>
    <row r="26" spans="2:13" x14ac:dyDescent="0.25">
      <c r="B26" s="715"/>
      <c r="C26" s="715" t="s">
        <v>231</v>
      </c>
      <c r="D26" s="1192"/>
      <c r="E26" s="1192"/>
      <c r="F26" s="1192"/>
      <c r="G26" s="1192"/>
      <c r="H26" s="1192"/>
      <c r="I26" s="1192"/>
      <c r="J26" s="1192"/>
      <c r="K26" s="1192"/>
    </row>
    <row r="27" spans="2:13" x14ac:dyDescent="0.25">
      <c r="B27" s="715"/>
      <c r="C27" s="715" t="s">
        <v>231</v>
      </c>
      <c r="D27" s="1192"/>
      <c r="E27" s="1192"/>
      <c r="F27" s="1192"/>
      <c r="G27" s="1192"/>
      <c r="H27" s="1192"/>
      <c r="I27" s="1192"/>
      <c r="J27" s="1192"/>
      <c r="K27" s="1192"/>
    </row>
    <row r="28" spans="2:13" ht="15.75" thickBot="1" x14ac:dyDescent="0.3">
      <c r="B28" s="715"/>
      <c r="C28" s="715" t="s">
        <v>182</v>
      </c>
      <c r="D28" s="1192"/>
      <c r="E28" s="1192"/>
      <c r="F28" s="1192"/>
      <c r="G28" s="1192"/>
      <c r="H28" s="1192"/>
      <c r="I28" s="1192"/>
      <c r="J28" s="1192"/>
      <c r="K28" s="1192"/>
    </row>
    <row r="29" spans="2:13" ht="15.75" thickBot="1" x14ac:dyDescent="0.3">
      <c r="B29" s="1202" t="s">
        <v>983</v>
      </c>
      <c r="C29" s="1203"/>
      <c r="D29" s="1204">
        <f>+D21+D22</f>
        <v>-25.593000000000004</v>
      </c>
      <c r="E29" s="1204">
        <f>+E21+E22</f>
        <v>-53.691999999999993</v>
      </c>
      <c r="F29" s="1204">
        <f t="shared" ref="F29:K29" si="4">+F21+F22</f>
        <v>-89.305000000000007</v>
      </c>
      <c r="G29" s="1204">
        <f t="shared" si="4"/>
        <v>-162.755</v>
      </c>
      <c r="H29" s="1204">
        <f t="shared" si="4"/>
        <v>-150.43799999999999</v>
      </c>
      <c r="I29" s="1204">
        <f t="shared" si="4"/>
        <v>-154.85599999999999</v>
      </c>
      <c r="J29" s="1204">
        <f t="shared" si="4"/>
        <v>-168.06900000000002</v>
      </c>
      <c r="K29" s="1204">
        <f t="shared" si="4"/>
        <v>49.012</v>
      </c>
    </row>
    <row r="31" spans="2:13" ht="21" x14ac:dyDescent="0.45">
      <c r="B31" s="2066" t="s">
        <v>1133</v>
      </c>
      <c r="C31" s="2066"/>
      <c r="D31" s="2059" t="s">
        <v>992</v>
      </c>
      <c r="E31" s="2059"/>
      <c r="F31" s="2059"/>
      <c r="G31" s="2059"/>
      <c r="H31" s="2059"/>
      <c r="I31" s="2059"/>
      <c r="J31" s="2059"/>
      <c r="K31" s="2059"/>
      <c r="L31" s="2059"/>
      <c r="M31" s="2059"/>
    </row>
    <row r="32" spans="2:13" ht="15.75" thickBot="1" x14ac:dyDescent="0.3">
      <c r="B32" s="2067"/>
      <c r="C32" s="2067"/>
      <c r="D32" s="1513">
        <f>+Web!D9+1</f>
        <v>2016</v>
      </c>
      <c r="E32" s="1513">
        <f>+D32+1</f>
        <v>2017</v>
      </c>
      <c r="F32" s="1513">
        <f t="shared" ref="F32:K32" si="5">+E32+1</f>
        <v>2018</v>
      </c>
      <c r="G32" s="1513">
        <f t="shared" si="5"/>
        <v>2019</v>
      </c>
      <c r="H32" s="1513">
        <f t="shared" si="5"/>
        <v>2020</v>
      </c>
      <c r="I32" s="1513">
        <f t="shared" si="5"/>
        <v>2021</v>
      </c>
      <c r="J32" s="1513">
        <f t="shared" si="5"/>
        <v>2022</v>
      </c>
      <c r="K32" s="1513">
        <f t="shared" si="5"/>
        <v>2023</v>
      </c>
      <c r="L32" s="1513">
        <f t="shared" ref="L32:M32" si="6">+K32+1</f>
        <v>2024</v>
      </c>
      <c r="M32" s="1513">
        <f t="shared" si="6"/>
        <v>2025</v>
      </c>
    </row>
    <row r="33" spans="2:25" ht="15.75" thickTop="1" x14ac:dyDescent="0.25">
      <c r="B33" s="1200"/>
      <c r="C33" s="99" t="s">
        <v>1134</v>
      </c>
      <c r="D33" s="1192"/>
      <c r="E33" s="1192"/>
      <c r="F33" s="1192"/>
      <c r="G33" s="1192"/>
      <c r="H33" s="1192"/>
      <c r="I33" s="1192"/>
      <c r="J33" s="1192"/>
      <c r="K33" s="1192"/>
      <c r="L33" s="1192"/>
      <c r="M33" s="1192"/>
    </row>
    <row r="34" spans="2:25" ht="15.75" thickBot="1" x14ac:dyDescent="0.3">
      <c r="B34" s="1200"/>
      <c r="C34" s="99" t="s">
        <v>1135</v>
      </c>
      <c r="D34" s="1192"/>
      <c r="E34" s="1192"/>
      <c r="F34" s="1192"/>
      <c r="G34" s="1192"/>
      <c r="H34" s="1192"/>
      <c r="I34" s="1192"/>
      <c r="J34" s="1192"/>
      <c r="K34" s="1192"/>
      <c r="L34" s="1192"/>
      <c r="M34" s="1192"/>
    </row>
    <row r="35" spans="2:25" ht="15.75" thickBot="1" x14ac:dyDescent="0.3">
      <c r="B35" s="1202" t="s">
        <v>1136</v>
      </c>
      <c r="C35" s="1203"/>
      <c r="D35" s="1204">
        <f>+D33+D34</f>
        <v>0</v>
      </c>
      <c r="E35" s="1204">
        <f>+E33+E34</f>
        <v>0</v>
      </c>
      <c r="F35" s="1204">
        <f t="shared" ref="F35:K35" si="7">+F33+F34</f>
        <v>0</v>
      </c>
      <c r="G35" s="1204">
        <f t="shared" si="7"/>
        <v>0</v>
      </c>
      <c r="H35" s="1204">
        <f t="shared" si="7"/>
        <v>0</v>
      </c>
      <c r="I35" s="1204">
        <f t="shared" si="7"/>
        <v>0</v>
      </c>
      <c r="J35" s="1204">
        <f t="shared" si="7"/>
        <v>0</v>
      </c>
      <c r="K35" s="1204">
        <f t="shared" si="7"/>
        <v>0</v>
      </c>
      <c r="L35" s="1204">
        <f t="shared" ref="L35:M35" si="8">+L33+L34</f>
        <v>0</v>
      </c>
      <c r="M35" s="1204">
        <f t="shared" si="8"/>
        <v>0</v>
      </c>
    </row>
    <row r="37" spans="2:25" ht="21" x14ac:dyDescent="0.45">
      <c r="B37" s="1193"/>
      <c r="C37" s="1189"/>
      <c r="D37" s="2059" t="s">
        <v>942</v>
      </c>
      <c r="E37" s="2059"/>
      <c r="F37" s="2059"/>
      <c r="G37" s="2059"/>
      <c r="H37" s="2059"/>
      <c r="I37" s="2059"/>
      <c r="J37" s="2059"/>
      <c r="K37" s="2059"/>
    </row>
    <row r="38" spans="2:25" ht="14.45" customHeight="1" x14ac:dyDescent="0.3">
      <c r="B38" s="1628" t="s">
        <v>1206</v>
      </c>
      <c r="C38" s="1626"/>
      <c r="D38" s="1627" t="str">
        <f>+D46</f>
        <v>2008/12</v>
      </c>
      <c r="E38" s="1627" t="str">
        <f t="shared" ref="E38:K38" si="9">+E46</f>
        <v>2009/12</v>
      </c>
      <c r="F38" s="1627" t="str">
        <f t="shared" si="9"/>
        <v>2010/12</v>
      </c>
      <c r="G38" s="1627" t="str">
        <f t="shared" si="9"/>
        <v>2011/12</v>
      </c>
      <c r="H38" s="1627" t="str">
        <f t="shared" si="9"/>
        <v>2012/12</v>
      </c>
      <c r="I38" s="1627" t="str">
        <f t="shared" si="9"/>
        <v>2013/12</v>
      </c>
      <c r="J38" s="1627" t="str">
        <f t="shared" si="9"/>
        <v>2014/12</v>
      </c>
      <c r="K38" s="1627" t="str">
        <f t="shared" si="9"/>
        <v>2015/12</v>
      </c>
    </row>
    <row r="39" spans="2:25" s="240" customFormat="1" ht="15" customHeight="1" x14ac:dyDescent="0.25">
      <c r="B39" s="1629" t="s">
        <v>988</v>
      </c>
      <c r="C39" s="1629"/>
      <c r="D39" s="1630"/>
      <c r="E39" s="1630">
        <f>+Mali!D44-Mali!C44</f>
        <v>275.76799999999997</v>
      </c>
      <c r="F39" s="1630">
        <f>+Mali!E44-Mali!D44</f>
        <v>0</v>
      </c>
      <c r="G39" s="1630">
        <f>+Mali!F44-Mali!E44</f>
        <v>0</v>
      </c>
      <c r="H39" s="1630">
        <f>+Mali!G44-Mali!F44</f>
        <v>0</v>
      </c>
      <c r="I39" s="1630">
        <f>+Mali!H44-Mali!G44</f>
        <v>0</v>
      </c>
      <c r="J39" s="1630">
        <f>+Mali!I44-Mali!H44</f>
        <v>0</v>
      </c>
      <c r="K39" s="1630">
        <f>+Mali!J44-Mali!I44</f>
        <v>0</v>
      </c>
    </row>
    <row r="40" spans="2:25" ht="21" x14ac:dyDescent="0.45">
      <c r="B40" s="2068" t="s">
        <v>1206</v>
      </c>
      <c r="C40" s="2068"/>
      <c r="D40" s="2059" t="s">
        <v>992</v>
      </c>
      <c r="E40" s="2059"/>
      <c r="F40" s="2059"/>
      <c r="G40" s="2059"/>
      <c r="H40" s="2059"/>
      <c r="I40" s="2059"/>
      <c r="J40" s="2059"/>
      <c r="K40" s="2059"/>
      <c r="L40" s="2059"/>
      <c r="M40" s="2059"/>
    </row>
    <row r="41" spans="2:25" ht="15.75" thickBot="1" x14ac:dyDescent="0.3">
      <c r="B41" s="2069"/>
      <c r="C41" s="2069"/>
      <c r="D41" s="1513">
        <f>+D32</f>
        <v>2016</v>
      </c>
      <c r="E41" s="1513">
        <f>+D41+1</f>
        <v>2017</v>
      </c>
      <c r="F41" s="1513">
        <f t="shared" ref="F41" si="10">+E41+1</f>
        <v>2018</v>
      </c>
      <c r="G41" s="1513">
        <f t="shared" ref="G41" si="11">+F41+1</f>
        <v>2019</v>
      </c>
      <c r="H41" s="1513">
        <f t="shared" ref="H41" si="12">+G41+1</f>
        <v>2020</v>
      </c>
      <c r="I41" s="1513">
        <f t="shared" ref="I41" si="13">+H41+1</f>
        <v>2021</v>
      </c>
      <c r="J41" s="1513">
        <f t="shared" ref="J41" si="14">+I41+1</f>
        <v>2022</v>
      </c>
      <c r="K41" s="1513">
        <f t="shared" ref="K41" si="15">+J41+1</f>
        <v>2023</v>
      </c>
      <c r="L41" s="1513">
        <f t="shared" ref="L41" si="16">+K41+1</f>
        <v>2024</v>
      </c>
      <c r="M41" s="1513">
        <f t="shared" ref="M41" si="17">+L41+1</f>
        <v>2025</v>
      </c>
    </row>
    <row r="42" spans="2:25" ht="16.5" thickTop="1" thickBot="1" x14ac:dyDescent="0.3">
      <c r="B42" s="1200"/>
      <c r="C42" s="99" t="s">
        <v>988</v>
      </c>
      <c r="D42" s="1192"/>
      <c r="E42" s="1192"/>
      <c r="F42" s="1192"/>
      <c r="G42" s="1192"/>
      <c r="H42" s="1192"/>
      <c r="I42" s="1192"/>
      <c r="J42" s="1192"/>
      <c r="K42" s="1192"/>
      <c r="L42" s="1192"/>
      <c r="M42" s="1192"/>
    </row>
    <row r="43" spans="2:25" ht="15.75" thickBot="1" x14ac:dyDescent="0.3">
      <c r="B43" s="1202" t="s">
        <v>1380</v>
      </c>
      <c r="C43" s="1203"/>
      <c r="D43" s="1204">
        <f>+D42</f>
        <v>0</v>
      </c>
      <c r="E43" s="1204">
        <f t="shared" ref="E43:M43" si="18">+E42</f>
        <v>0</v>
      </c>
      <c r="F43" s="1204">
        <f t="shared" si="18"/>
        <v>0</v>
      </c>
      <c r="G43" s="1204">
        <f t="shared" si="18"/>
        <v>0</v>
      </c>
      <c r="H43" s="1204">
        <f t="shared" si="18"/>
        <v>0</v>
      </c>
      <c r="I43" s="1204">
        <f t="shared" si="18"/>
        <v>0</v>
      </c>
      <c r="J43" s="1204">
        <f t="shared" si="18"/>
        <v>0</v>
      </c>
      <c r="K43" s="1204">
        <f t="shared" si="18"/>
        <v>0</v>
      </c>
      <c r="L43" s="1204">
        <f t="shared" si="18"/>
        <v>0</v>
      </c>
      <c r="M43" s="1204">
        <f t="shared" si="18"/>
        <v>0</v>
      </c>
    </row>
    <row r="45" spans="2:25" ht="21" x14ac:dyDescent="0.45">
      <c r="B45" s="1193"/>
      <c r="C45" s="1189"/>
      <c r="D45" s="2059" t="s">
        <v>942</v>
      </c>
      <c r="E45" s="2059"/>
      <c r="F45" s="2059"/>
      <c r="G45" s="2059"/>
      <c r="H45" s="2059"/>
      <c r="I45" s="2059"/>
      <c r="J45" s="2059"/>
      <c r="K45" s="2059"/>
    </row>
    <row r="46" spans="2:25" ht="18.75" x14ac:dyDescent="0.3">
      <c r="B46" s="1628" t="s">
        <v>1241</v>
      </c>
      <c r="C46" s="1626"/>
      <c r="D46" s="1627" t="str">
        <f t="shared" ref="D46:K46" si="19">+D3</f>
        <v>2008/12</v>
      </c>
      <c r="E46" s="1627" t="str">
        <f t="shared" si="19"/>
        <v>2009/12</v>
      </c>
      <c r="F46" s="1627" t="str">
        <f t="shared" si="19"/>
        <v>2010/12</v>
      </c>
      <c r="G46" s="1627" t="str">
        <f t="shared" si="19"/>
        <v>2011/12</v>
      </c>
      <c r="H46" s="1627" t="str">
        <f t="shared" si="19"/>
        <v>2012/12</v>
      </c>
      <c r="I46" s="1627" t="str">
        <f t="shared" si="19"/>
        <v>2013/12</v>
      </c>
      <c r="J46" s="1627" t="str">
        <f t="shared" si="19"/>
        <v>2014/12</v>
      </c>
      <c r="K46" s="1627" t="str">
        <f t="shared" si="19"/>
        <v>2015/12</v>
      </c>
      <c r="X46" s="1178"/>
      <c r="Y46" s="1178"/>
    </row>
    <row r="47" spans="2:25" s="240" customFormat="1" x14ac:dyDescent="0.25">
      <c r="B47" s="1629" t="s">
        <v>1241</v>
      </c>
      <c r="C47" s="1629"/>
      <c r="D47" s="1630"/>
      <c r="E47" s="1630">
        <f>-(Mali!D47-(Mali!C46+Mali!C47))</f>
        <v>-10.092999999999961</v>
      </c>
      <c r="F47" s="1630">
        <f>-(Mali!E47-(Mali!D46+Mali!D47))</f>
        <v>98.520999999999958</v>
      </c>
      <c r="G47" s="1630">
        <f>-(Mali!F47-(Mali!E46+Mali!E47))</f>
        <v>248.33900000000017</v>
      </c>
      <c r="H47" s="1630">
        <f>-(Mali!G47-(Mali!F46+Mali!F47))</f>
        <v>298.35200000000009</v>
      </c>
      <c r="I47" s="1630">
        <f>-(Mali!H47-(Mali!G46+Mali!G47))</f>
        <v>572.04099999999994</v>
      </c>
      <c r="J47" s="1630">
        <f>-(Mali!I47-(Mali!H46+Mali!H47))</f>
        <v>343.19900000000007</v>
      </c>
      <c r="K47" s="1630">
        <f>-(Mali!J47-(Mali!I46+Mali!I47))</f>
        <v>592.96199999999976</v>
      </c>
      <c r="L47" s="99"/>
      <c r="M47" s="99"/>
      <c r="N47" s="99"/>
      <c r="O47" s="99"/>
      <c r="P47" s="99"/>
      <c r="Q47" s="99"/>
      <c r="R47" s="99"/>
      <c r="S47" s="99"/>
      <c r="T47" s="99"/>
      <c r="X47" s="829" t="s">
        <v>405</v>
      </c>
      <c r="Y47" s="829"/>
    </row>
    <row r="48" spans="2:25" x14ac:dyDescent="0.25">
      <c r="D48" s="99"/>
      <c r="E48" s="99"/>
      <c r="F48" s="99"/>
      <c r="G48" s="99"/>
      <c r="H48" s="99"/>
      <c r="I48" s="99"/>
      <c r="J48" s="99"/>
      <c r="K48" s="99"/>
    </row>
  </sheetData>
  <mergeCells count="8">
    <mergeCell ref="D45:K45"/>
    <mergeCell ref="D2:K2"/>
    <mergeCell ref="D19:K19"/>
    <mergeCell ref="B31:C32"/>
    <mergeCell ref="D31:M31"/>
    <mergeCell ref="B40:C41"/>
    <mergeCell ref="D40:M40"/>
    <mergeCell ref="D37:K37"/>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U72"/>
  <sheetViews>
    <sheetView topLeftCell="A16" zoomScale="82" zoomScaleNormal="82" workbookViewId="0">
      <selection activeCell="J69" sqref="J69"/>
    </sheetView>
  </sheetViews>
  <sheetFormatPr defaultColWidth="9.140625" defaultRowHeight="15" outlineLevelRow="2" x14ac:dyDescent="0.25"/>
  <cols>
    <col min="1" max="1" width="5.140625" style="4" customWidth="1"/>
    <col min="2" max="2" width="1.28515625" style="4" customWidth="1"/>
    <col min="3" max="3" width="45.42578125" style="4" customWidth="1"/>
    <col min="4" max="10" width="9.7109375" style="55" customWidth="1"/>
    <col min="11" max="11" width="9.42578125" style="4" bestFit="1" customWidth="1"/>
    <col min="12" max="20" width="7.42578125" style="4" customWidth="1"/>
    <col min="21" max="16384" width="9.140625" style="4"/>
  </cols>
  <sheetData>
    <row r="2" spans="2:20" ht="15.75" thickBot="1" x14ac:dyDescent="0.3">
      <c r="D2" s="6"/>
      <c r="E2" s="6"/>
      <c r="F2" s="6"/>
      <c r="G2" s="6"/>
      <c r="H2" s="6"/>
      <c r="I2" s="314"/>
      <c r="J2" s="315" t="s">
        <v>232</v>
      </c>
      <c r="K2" s="316"/>
      <c r="M2" s="317"/>
      <c r="N2" s="315" t="s">
        <v>233</v>
      </c>
      <c r="O2" s="316"/>
      <c r="Q2" s="318"/>
      <c r="R2" s="315" t="s">
        <v>263</v>
      </c>
    </row>
    <row r="3" spans="2:20" outlineLevel="1" x14ac:dyDescent="0.25">
      <c r="B3" s="559"/>
      <c r="C3" s="828"/>
      <c r="D3" s="560" t="e">
        <f>#REF!</f>
        <v>#REF!</v>
      </c>
      <c r="E3" s="560" t="e">
        <f>#REF!</f>
        <v>#REF!</v>
      </c>
      <c r="F3" s="560" t="e">
        <f>#REF!</f>
        <v>#REF!</v>
      </c>
      <c r="G3" s="560" t="e">
        <f>#REF!</f>
        <v>#REF!</v>
      </c>
      <c r="H3" s="560" t="e">
        <f>#REF!</f>
        <v>#REF!</v>
      </c>
      <c r="I3" s="560" t="e">
        <f>#REF!</f>
        <v>#REF!</v>
      </c>
      <c r="J3" s="561" t="e">
        <f>#REF!</f>
        <v>#REF!</v>
      </c>
      <c r="K3" s="562" t="e">
        <f>CONCATENATE(LEFT(J3,4)+1,"F")</f>
        <v>#REF!</v>
      </c>
      <c r="L3" s="563" t="e">
        <f t="shared" ref="L3:T3" si="0">CONCATENATE(LEFT(K3,4)+1,"F")</f>
        <v>#REF!</v>
      </c>
      <c r="M3" s="563" t="e">
        <f t="shared" si="0"/>
        <v>#REF!</v>
      </c>
      <c r="N3" s="563" t="e">
        <f t="shared" si="0"/>
        <v>#REF!</v>
      </c>
      <c r="O3" s="563" t="e">
        <f t="shared" si="0"/>
        <v>#REF!</v>
      </c>
      <c r="P3" s="563" t="e">
        <f t="shared" si="0"/>
        <v>#REF!</v>
      </c>
      <c r="Q3" s="563" t="e">
        <f t="shared" si="0"/>
        <v>#REF!</v>
      </c>
      <c r="R3" s="563" t="e">
        <f t="shared" si="0"/>
        <v>#REF!</v>
      </c>
      <c r="S3" s="563" t="e">
        <f t="shared" si="0"/>
        <v>#REF!</v>
      </c>
      <c r="T3" s="564" t="e">
        <f t="shared" si="0"/>
        <v>#REF!</v>
      </c>
    </row>
    <row r="4" spans="2:20" s="7" customFormat="1" outlineLevel="1" x14ac:dyDescent="0.25">
      <c r="B4" s="289" t="s">
        <v>405</v>
      </c>
      <c r="C4" s="829"/>
      <c r="D4" s="565" t="e">
        <f>#REF!</f>
        <v>#REF!</v>
      </c>
      <c r="E4" s="565" t="e">
        <f>#REF!</f>
        <v>#REF!</v>
      </c>
      <c r="F4" s="565" t="e">
        <f>#REF!</f>
        <v>#REF!</v>
      </c>
      <c r="G4" s="565" t="e">
        <f>#REF!</f>
        <v>#REF!</v>
      </c>
      <c r="H4" s="565" t="e">
        <f>#REF!</f>
        <v>#REF!</v>
      </c>
      <c r="I4" s="565" t="e">
        <f>#REF!</f>
        <v>#REF!</v>
      </c>
      <c r="J4" s="566" t="e">
        <f>#REF!</f>
        <v>#REF!</v>
      </c>
      <c r="K4" s="567" t="e">
        <f>Mali!#REF!</f>
        <v>#REF!</v>
      </c>
      <c r="L4" s="568" t="e">
        <f>Mali!#REF!</f>
        <v>#REF!</v>
      </c>
      <c r="M4" s="568" t="e">
        <f>Mali!#REF!</f>
        <v>#REF!</v>
      </c>
      <c r="N4" s="568" t="e">
        <f>Mali!#REF!</f>
        <v>#REF!</v>
      </c>
      <c r="O4" s="568" t="e">
        <f>Mali!#REF!</f>
        <v>#REF!</v>
      </c>
      <c r="P4" s="568" t="e">
        <f>Mali!#REF!</f>
        <v>#REF!</v>
      </c>
      <c r="Q4" s="568" t="e">
        <f>Mali!#REF!</f>
        <v>#REF!</v>
      </c>
      <c r="R4" s="568" t="e">
        <f>Mali!#REF!</f>
        <v>#REF!</v>
      </c>
      <c r="S4" s="568" t="e">
        <f>Mali!#REF!</f>
        <v>#REF!</v>
      </c>
      <c r="T4" s="569" t="e">
        <f>Mali!#REF!</f>
        <v>#REF!</v>
      </c>
    </row>
    <row r="5" spans="2:20" outlineLevel="1" x14ac:dyDescent="0.25">
      <c r="B5" s="284" t="s">
        <v>209</v>
      </c>
      <c r="C5" s="138"/>
      <c r="D5" s="570" t="e">
        <f>#REF!</f>
        <v>#REF!</v>
      </c>
      <c r="E5" s="570" t="e">
        <f>#REF!</f>
        <v>#REF!</v>
      </c>
      <c r="F5" s="570" t="e">
        <f>#REF!</f>
        <v>#REF!</v>
      </c>
      <c r="G5" s="570" t="e">
        <f>#REF!</f>
        <v>#REF!</v>
      </c>
      <c r="H5" s="570" t="e">
        <f>#REF!</f>
        <v>#REF!</v>
      </c>
      <c r="I5" s="570" t="e">
        <f>#REF!</f>
        <v>#REF!</v>
      </c>
      <c r="J5" s="571" t="e">
        <f>#REF!</f>
        <v>#REF!</v>
      </c>
      <c r="K5" s="572" t="e">
        <f>Mali!#REF!</f>
        <v>#REF!</v>
      </c>
      <c r="L5" s="573" t="e">
        <f>Mali!#REF!</f>
        <v>#REF!</v>
      </c>
      <c r="M5" s="573" t="e">
        <f>Mali!#REF!</f>
        <v>#REF!</v>
      </c>
      <c r="N5" s="573" t="e">
        <f>Mali!#REF!</f>
        <v>#REF!</v>
      </c>
      <c r="O5" s="573" t="e">
        <f>Mali!#REF!</f>
        <v>#REF!</v>
      </c>
      <c r="P5" s="573" t="e">
        <f>Mali!#REF!</f>
        <v>#REF!</v>
      </c>
      <c r="Q5" s="573" t="e">
        <f>Mali!#REF!</f>
        <v>#REF!</v>
      </c>
      <c r="R5" s="573" t="e">
        <f>Mali!#REF!</f>
        <v>#REF!</v>
      </c>
      <c r="S5" s="573" t="e">
        <f>Mali!#REF!</f>
        <v>#REF!</v>
      </c>
      <c r="T5" s="574" t="e">
        <f>Mali!#REF!</f>
        <v>#REF!</v>
      </c>
    </row>
    <row r="6" spans="2:20" outlineLevel="1" x14ac:dyDescent="0.25">
      <c r="B6" s="289" t="s">
        <v>229</v>
      </c>
      <c r="C6" s="829"/>
      <c r="D6" s="565" t="e">
        <f>#REF!</f>
        <v>#REF!</v>
      </c>
      <c r="E6" s="565" t="e">
        <f>#REF!</f>
        <v>#REF!</v>
      </c>
      <c r="F6" s="565" t="e">
        <f>#REF!</f>
        <v>#REF!</v>
      </c>
      <c r="G6" s="565" t="e">
        <f>#REF!</f>
        <v>#REF!</v>
      </c>
      <c r="H6" s="565" t="e">
        <f>#REF!</f>
        <v>#REF!</v>
      </c>
      <c r="I6" s="565" t="e">
        <f>#REF!</f>
        <v>#REF!</v>
      </c>
      <c r="J6" s="566" t="e">
        <f>#REF!</f>
        <v>#REF!</v>
      </c>
      <c r="K6" s="567" t="e">
        <f>Mali!#REF!</f>
        <v>#REF!</v>
      </c>
      <c r="L6" s="568" t="e">
        <f>Mali!#REF!</f>
        <v>#REF!</v>
      </c>
      <c r="M6" s="568" t="e">
        <f>Mali!#REF!</f>
        <v>#REF!</v>
      </c>
      <c r="N6" s="568" t="e">
        <f>Mali!#REF!</f>
        <v>#REF!</v>
      </c>
      <c r="O6" s="568" t="e">
        <f>Mali!#REF!</f>
        <v>#REF!</v>
      </c>
      <c r="P6" s="568" t="e">
        <f>Mali!#REF!</f>
        <v>#REF!</v>
      </c>
      <c r="Q6" s="568" t="e">
        <f>Mali!#REF!</f>
        <v>#REF!</v>
      </c>
      <c r="R6" s="568" t="e">
        <f>Mali!#REF!</f>
        <v>#REF!</v>
      </c>
      <c r="S6" s="568" t="e">
        <f>Mali!#REF!</f>
        <v>#REF!</v>
      </c>
      <c r="T6" s="569" t="e">
        <f>Mali!#REF!</f>
        <v>#REF!</v>
      </c>
    </row>
    <row r="7" spans="2:20" outlineLevel="1" x14ac:dyDescent="0.25">
      <c r="B7" s="827" t="s">
        <v>866</v>
      </c>
      <c r="C7" s="830"/>
      <c r="D7" s="823">
        <f>+SUM(D8:D15)</f>
        <v>0</v>
      </c>
      <c r="E7" s="823">
        <f t="shared" ref="E7:J7" si="1">+SUM(E8:E15)</f>
        <v>0</v>
      </c>
      <c r="F7" s="823">
        <f t="shared" si="1"/>
        <v>0</v>
      </c>
      <c r="G7" s="823">
        <f t="shared" si="1"/>
        <v>0</v>
      </c>
      <c r="H7" s="823">
        <f t="shared" si="1"/>
        <v>0</v>
      </c>
      <c r="I7" s="823">
        <f t="shared" si="1"/>
        <v>0</v>
      </c>
      <c r="J7" s="824">
        <f t="shared" si="1"/>
        <v>0</v>
      </c>
      <c r="K7" s="825"/>
      <c r="L7" s="536"/>
      <c r="M7" s="536"/>
      <c r="N7" s="536"/>
      <c r="O7" s="536"/>
      <c r="P7" s="536"/>
      <c r="Q7" s="536"/>
      <c r="R7" s="536"/>
      <c r="S7" s="536"/>
      <c r="T7" s="826"/>
    </row>
    <row r="8" spans="2:20" outlineLevel="2" x14ac:dyDescent="0.25">
      <c r="B8" s="279"/>
      <c r="C8" s="138" t="s">
        <v>864</v>
      </c>
      <c r="D8" s="844"/>
      <c r="E8" s="844"/>
      <c r="F8" s="844"/>
      <c r="G8" s="844"/>
      <c r="H8" s="844"/>
      <c r="I8" s="844"/>
      <c r="J8" s="845"/>
      <c r="K8" s="825"/>
      <c r="L8" s="536"/>
      <c r="M8" s="536"/>
      <c r="N8" s="536"/>
      <c r="O8" s="536"/>
      <c r="P8" s="536"/>
      <c r="Q8" s="536"/>
      <c r="R8" s="536"/>
      <c r="S8" s="536"/>
      <c r="T8" s="826"/>
    </row>
    <row r="9" spans="2:20" outlineLevel="2" x14ac:dyDescent="0.25">
      <c r="B9" s="279"/>
      <c r="C9" s="138" t="s">
        <v>865</v>
      </c>
      <c r="D9" s="844"/>
      <c r="E9" s="844"/>
      <c r="F9" s="844"/>
      <c r="G9" s="844"/>
      <c r="H9" s="844"/>
      <c r="I9" s="844"/>
      <c r="J9" s="845"/>
      <c r="K9" s="825"/>
      <c r="L9" s="536"/>
      <c r="M9" s="536"/>
      <c r="N9" s="536"/>
      <c r="O9" s="536"/>
      <c r="P9" s="536"/>
      <c r="Q9" s="536"/>
      <c r="R9" s="536"/>
      <c r="S9" s="536"/>
      <c r="T9" s="826"/>
    </row>
    <row r="10" spans="2:20" outlineLevel="2" x14ac:dyDescent="0.25">
      <c r="B10" s="279"/>
      <c r="C10" s="138" t="s">
        <v>867</v>
      </c>
      <c r="D10" s="844"/>
      <c r="E10" s="844"/>
      <c r="F10" s="844"/>
      <c r="G10" s="844"/>
      <c r="H10" s="844"/>
      <c r="I10" s="844"/>
      <c r="J10" s="845"/>
      <c r="K10" s="825"/>
      <c r="L10" s="536"/>
      <c r="M10" s="536"/>
      <c r="N10" s="536"/>
      <c r="O10" s="536"/>
      <c r="P10" s="536"/>
      <c r="Q10" s="536"/>
      <c r="R10" s="536"/>
      <c r="S10" s="536"/>
      <c r="T10" s="826"/>
    </row>
    <row r="11" spans="2:20" outlineLevel="2" x14ac:dyDescent="0.25">
      <c r="B11" s="279"/>
      <c r="C11" s="138" t="s">
        <v>868</v>
      </c>
      <c r="D11" s="844"/>
      <c r="E11" s="844"/>
      <c r="F11" s="844"/>
      <c r="G11" s="844"/>
      <c r="H11" s="844"/>
      <c r="I11" s="844"/>
      <c r="J11" s="845"/>
      <c r="K11" s="825"/>
      <c r="L11" s="536"/>
      <c r="M11" s="536"/>
      <c r="N11" s="536"/>
      <c r="O11" s="536"/>
      <c r="P11" s="536"/>
      <c r="Q11" s="536"/>
      <c r="R11" s="536"/>
      <c r="S11" s="536"/>
      <c r="T11" s="826"/>
    </row>
    <row r="12" spans="2:20" outlineLevel="2" x14ac:dyDescent="0.25">
      <c r="B12" s="279"/>
      <c r="C12" s="138" t="s">
        <v>869</v>
      </c>
      <c r="D12" s="844"/>
      <c r="E12" s="844"/>
      <c r="F12" s="844"/>
      <c r="G12" s="844"/>
      <c r="H12" s="844"/>
      <c r="I12" s="844"/>
      <c r="J12" s="845"/>
      <c r="K12" s="825"/>
      <c r="L12" s="536"/>
      <c r="M12" s="536"/>
      <c r="N12" s="536"/>
      <c r="O12" s="536"/>
      <c r="P12" s="536"/>
      <c r="Q12" s="536"/>
      <c r="R12" s="536"/>
      <c r="S12" s="536"/>
      <c r="T12" s="826"/>
    </row>
    <row r="13" spans="2:20" outlineLevel="2" x14ac:dyDescent="0.25">
      <c r="B13" s="279"/>
      <c r="C13" s="138" t="s">
        <v>231</v>
      </c>
      <c r="D13" s="844"/>
      <c r="E13" s="844"/>
      <c r="F13" s="844"/>
      <c r="G13" s="844"/>
      <c r="H13" s="844"/>
      <c r="I13" s="844"/>
      <c r="J13" s="845"/>
      <c r="K13" s="825"/>
      <c r="L13" s="536"/>
      <c r="M13" s="536"/>
      <c r="N13" s="536"/>
      <c r="O13" s="536"/>
      <c r="P13" s="536"/>
      <c r="Q13" s="536"/>
      <c r="R13" s="536"/>
      <c r="S13" s="536"/>
      <c r="T13" s="826"/>
    </row>
    <row r="14" spans="2:20" outlineLevel="2" x14ac:dyDescent="0.25">
      <c r="B14" s="279"/>
      <c r="C14" s="138" t="s">
        <v>231</v>
      </c>
      <c r="D14" s="844"/>
      <c r="E14" s="844"/>
      <c r="F14" s="844"/>
      <c r="G14" s="844"/>
      <c r="H14" s="844"/>
      <c r="I14" s="844"/>
      <c r="J14" s="845"/>
      <c r="K14" s="825"/>
      <c r="L14" s="536"/>
      <c r="M14" s="536"/>
      <c r="N14" s="536"/>
      <c r="O14" s="536"/>
      <c r="P14" s="536"/>
      <c r="Q14" s="536"/>
      <c r="R14" s="536"/>
      <c r="S14" s="536"/>
      <c r="T14" s="826"/>
    </row>
    <row r="15" spans="2:20" outlineLevel="2" x14ac:dyDescent="0.25">
      <c r="B15" s="279"/>
      <c r="C15" s="138" t="s">
        <v>231</v>
      </c>
      <c r="D15" s="844"/>
      <c r="E15" s="844"/>
      <c r="F15" s="844"/>
      <c r="G15" s="844"/>
      <c r="H15" s="844"/>
      <c r="I15" s="844"/>
      <c r="J15" s="845"/>
      <c r="K15" s="825"/>
      <c r="L15" s="536"/>
      <c r="M15" s="536"/>
      <c r="N15" s="536"/>
      <c r="O15" s="536"/>
      <c r="P15" s="536"/>
      <c r="Q15" s="536"/>
      <c r="R15" s="536"/>
      <c r="S15" s="536"/>
      <c r="T15" s="826"/>
    </row>
    <row r="16" spans="2:20" outlineLevel="1" x14ac:dyDescent="0.25">
      <c r="B16" s="289" t="s">
        <v>784</v>
      </c>
      <c r="C16" s="829"/>
      <c r="D16" s="565" t="e">
        <f>+D6+D7</f>
        <v>#REF!</v>
      </c>
      <c r="E16" s="565" t="e">
        <f t="shared" ref="E16:J16" si="2">+E6+E7</f>
        <v>#REF!</v>
      </c>
      <c r="F16" s="565" t="e">
        <f t="shared" si="2"/>
        <v>#REF!</v>
      </c>
      <c r="G16" s="565" t="e">
        <f t="shared" si="2"/>
        <v>#REF!</v>
      </c>
      <c r="H16" s="565" t="e">
        <f t="shared" si="2"/>
        <v>#REF!</v>
      </c>
      <c r="I16" s="565" t="e">
        <f t="shared" si="2"/>
        <v>#REF!</v>
      </c>
      <c r="J16" s="566" t="e">
        <f t="shared" si="2"/>
        <v>#REF!</v>
      </c>
      <c r="K16" s="575"/>
      <c r="L16" s="99"/>
      <c r="M16" s="99"/>
      <c r="N16" s="99"/>
      <c r="O16" s="99"/>
      <c r="P16" s="99"/>
      <c r="Q16" s="99"/>
      <c r="R16" s="99"/>
      <c r="S16" s="99"/>
      <c r="T16" s="576"/>
    </row>
    <row r="17" spans="2:21" outlineLevel="1" x14ac:dyDescent="0.25">
      <c r="B17" s="279" t="s">
        <v>210</v>
      </c>
      <c r="C17" s="522"/>
      <c r="D17" s="577" t="e">
        <f>#REF!</f>
        <v>#REF!</v>
      </c>
      <c r="E17" s="577" t="e">
        <f>#REF!</f>
        <v>#REF!</v>
      </c>
      <c r="F17" s="577" t="e">
        <f>#REF!</f>
        <v>#REF!</v>
      </c>
      <c r="G17" s="577" t="e">
        <f>#REF!</f>
        <v>#REF!</v>
      </c>
      <c r="H17" s="577" t="e">
        <f>#REF!</f>
        <v>#REF!</v>
      </c>
      <c r="I17" s="577" t="e">
        <f>#REF!</f>
        <v>#REF!</v>
      </c>
      <c r="J17" s="578" t="e">
        <f>#REF!</f>
        <v>#REF!</v>
      </c>
      <c r="K17" s="575"/>
      <c r="L17" s="99"/>
      <c r="M17" s="99"/>
      <c r="N17" s="99"/>
      <c r="O17" s="99"/>
      <c r="P17" s="99"/>
      <c r="Q17" s="99"/>
      <c r="R17" s="99"/>
      <c r="S17" s="99"/>
      <c r="T17" s="576"/>
    </row>
    <row r="18" spans="2:21" s="7" customFormat="1" outlineLevel="1" x14ac:dyDescent="0.25">
      <c r="B18" s="279" t="s">
        <v>211</v>
      </c>
      <c r="C18" s="522"/>
      <c r="D18" s="577" t="e">
        <f>#REF!</f>
        <v>#REF!</v>
      </c>
      <c r="E18" s="577" t="e">
        <f>#REF!</f>
        <v>#REF!</v>
      </c>
      <c r="F18" s="577" t="e">
        <f>#REF!</f>
        <v>#REF!</v>
      </c>
      <c r="G18" s="577" t="e">
        <f>#REF!</f>
        <v>#REF!</v>
      </c>
      <c r="H18" s="577" t="e">
        <f>#REF!</f>
        <v>#REF!</v>
      </c>
      <c r="I18" s="577" t="e">
        <f>#REF!</f>
        <v>#REF!</v>
      </c>
      <c r="J18" s="578" t="e">
        <f>#REF!</f>
        <v>#REF!</v>
      </c>
      <c r="K18" s="579"/>
      <c r="L18" s="240"/>
      <c r="M18" s="240"/>
      <c r="N18" s="240"/>
      <c r="O18" s="240"/>
      <c r="P18" s="240"/>
      <c r="Q18" s="240"/>
      <c r="R18" s="240"/>
      <c r="S18" s="240"/>
      <c r="T18" s="580"/>
    </row>
    <row r="19" spans="2:21" outlineLevel="1" x14ac:dyDescent="0.25">
      <c r="B19" s="284" t="s">
        <v>212</v>
      </c>
      <c r="C19" s="138"/>
      <c r="D19" s="570" t="e">
        <f>#REF!</f>
        <v>#REF!</v>
      </c>
      <c r="E19" s="570" t="e">
        <f>#REF!</f>
        <v>#REF!</v>
      </c>
      <c r="F19" s="570" t="e">
        <f>#REF!</f>
        <v>#REF!</v>
      </c>
      <c r="G19" s="570" t="e">
        <f>#REF!</f>
        <v>#REF!</v>
      </c>
      <c r="H19" s="570" t="e">
        <f>#REF!</f>
        <v>#REF!</v>
      </c>
      <c r="I19" s="570" t="e">
        <f>#REF!</f>
        <v>#REF!</v>
      </c>
      <c r="J19" s="571" t="e">
        <f>#REF!</f>
        <v>#REF!</v>
      </c>
      <c r="K19" s="575"/>
      <c r="L19" s="99"/>
      <c r="M19" s="99"/>
      <c r="N19" s="99"/>
      <c r="O19" s="99"/>
      <c r="P19" s="99"/>
      <c r="Q19" s="99"/>
      <c r="R19" s="99"/>
      <c r="S19" s="99"/>
      <c r="T19" s="576"/>
    </row>
    <row r="20" spans="2:21" outlineLevel="1" x14ac:dyDescent="0.25">
      <c r="B20" s="284" t="s">
        <v>213</v>
      </c>
      <c r="C20" s="138"/>
      <c r="D20" s="570" t="e">
        <f>#REF!</f>
        <v>#REF!</v>
      </c>
      <c r="E20" s="570" t="e">
        <f>#REF!</f>
        <v>#REF!</v>
      </c>
      <c r="F20" s="570" t="e">
        <f>#REF!</f>
        <v>#REF!</v>
      </c>
      <c r="G20" s="570" t="e">
        <f>#REF!</f>
        <v>#REF!</v>
      </c>
      <c r="H20" s="570" t="e">
        <f>#REF!</f>
        <v>#REF!</v>
      </c>
      <c r="I20" s="570" t="e">
        <f>#REF!</f>
        <v>#REF!</v>
      </c>
      <c r="J20" s="571" t="e">
        <f>#REF!</f>
        <v>#REF!</v>
      </c>
      <c r="K20" s="575"/>
      <c r="L20" s="99"/>
      <c r="M20" s="99"/>
      <c r="N20" s="99"/>
      <c r="O20" s="99"/>
      <c r="P20" s="99"/>
      <c r="Q20" s="99"/>
      <c r="R20" s="99"/>
      <c r="S20" s="99"/>
      <c r="T20" s="576"/>
    </row>
    <row r="21" spans="2:21" outlineLevel="1" x14ac:dyDescent="0.25">
      <c r="B21" s="279" t="s">
        <v>214</v>
      </c>
      <c r="C21" s="522"/>
      <c r="D21" s="577" t="e">
        <f>#REF!</f>
        <v>#REF!</v>
      </c>
      <c r="E21" s="577" t="e">
        <f>#REF!</f>
        <v>#REF!</v>
      </c>
      <c r="F21" s="577" t="e">
        <f>#REF!</f>
        <v>#REF!</v>
      </c>
      <c r="G21" s="577" t="e">
        <f>#REF!</f>
        <v>#REF!</v>
      </c>
      <c r="H21" s="577" t="e">
        <f>#REF!</f>
        <v>#REF!</v>
      </c>
      <c r="I21" s="577" t="e">
        <f>#REF!</f>
        <v>#REF!</v>
      </c>
      <c r="J21" s="578" t="e">
        <f>#REF!</f>
        <v>#REF!</v>
      </c>
      <c r="K21" s="575"/>
      <c r="L21" s="99"/>
      <c r="M21" s="99"/>
      <c r="N21" s="99"/>
      <c r="O21" s="99"/>
      <c r="P21" s="99"/>
      <c r="Q21" s="99"/>
      <c r="R21" s="99"/>
      <c r="S21" s="99"/>
      <c r="T21" s="576"/>
    </row>
    <row r="22" spans="2:21" outlineLevel="1" x14ac:dyDescent="0.25">
      <c r="B22" s="284" t="s">
        <v>215</v>
      </c>
      <c r="C22" s="138"/>
      <c r="D22" s="570" t="e">
        <f>#REF!</f>
        <v>#REF!</v>
      </c>
      <c r="E22" s="570" t="e">
        <f>#REF!</f>
        <v>#REF!</v>
      </c>
      <c r="F22" s="570" t="e">
        <f>#REF!</f>
        <v>#REF!</v>
      </c>
      <c r="G22" s="570" t="e">
        <f>#REF!</f>
        <v>#REF!</v>
      </c>
      <c r="H22" s="570" t="e">
        <f>#REF!</f>
        <v>#REF!</v>
      </c>
      <c r="I22" s="570" t="e">
        <f>#REF!</f>
        <v>#REF!</v>
      </c>
      <c r="J22" s="571" t="e">
        <f>#REF!</f>
        <v>#REF!</v>
      </c>
      <c r="K22" s="575"/>
      <c r="L22" s="99"/>
      <c r="M22" s="99"/>
      <c r="N22" s="99"/>
      <c r="O22" s="99"/>
      <c r="P22" s="99"/>
      <c r="Q22" s="99"/>
      <c r="R22" s="99"/>
      <c r="S22" s="99"/>
      <c r="T22" s="576"/>
    </row>
    <row r="23" spans="2:21" outlineLevel="1" x14ac:dyDescent="0.25">
      <c r="B23" s="284" t="s">
        <v>216</v>
      </c>
      <c r="C23" s="138"/>
      <c r="D23" s="570" t="e">
        <f>#REF!</f>
        <v>#REF!</v>
      </c>
      <c r="E23" s="570" t="e">
        <f>#REF!</f>
        <v>#REF!</v>
      </c>
      <c r="F23" s="570" t="e">
        <f>#REF!</f>
        <v>#REF!</v>
      </c>
      <c r="G23" s="570" t="e">
        <f>#REF!</f>
        <v>#REF!</v>
      </c>
      <c r="H23" s="570" t="e">
        <f>#REF!</f>
        <v>#REF!</v>
      </c>
      <c r="I23" s="570" t="e">
        <f>#REF!</f>
        <v>#REF!</v>
      </c>
      <c r="J23" s="571" t="e">
        <f>#REF!</f>
        <v>#REF!</v>
      </c>
      <c r="K23" s="575"/>
      <c r="L23" s="581"/>
      <c r="M23" s="99"/>
      <c r="N23" s="99"/>
      <c r="O23" s="99"/>
      <c r="P23" s="99"/>
      <c r="Q23" s="99"/>
      <c r="R23" s="99"/>
      <c r="S23" s="99"/>
      <c r="T23" s="576"/>
    </row>
    <row r="24" spans="2:21" outlineLevel="1" x14ac:dyDescent="0.25">
      <c r="B24" s="279" t="s">
        <v>227</v>
      </c>
      <c r="C24" s="522"/>
      <c r="D24" s="565" t="e">
        <f>#REF!</f>
        <v>#REF!</v>
      </c>
      <c r="E24" s="565" t="e">
        <f>#REF!</f>
        <v>#REF!</v>
      </c>
      <c r="F24" s="565" t="e">
        <f>#REF!</f>
        <v>#REF!</v>
      </c>
      <c r="G24" s="565" t="e">
        <f>#REF!</f>
        <v>#REF!</v>
      </c>
      <c r="H24" s="565" t="e">
        <f>#REF!</f>
        <v>#REF!</v>
      </c>
      <c r="I24" s="565" t="e">
        <f>#REF!</f>
        <v>#REF!</v>
      </c>
      <c r="J24" s="566" t="e">
        <f>#REF!</f>
        <v>#REF!</v>
      </c>
      <c r="K24" s="575"/>
      <c r="L24" s="99"/>
      <c r="M24" s="99"/>
      <c r="N24" s="99"/>
      <c r="O24" s="99"/>
      <c r="P24" s="99"/>
      <c r="Q24" s="99"/>
      <c r="R24" s="99"/>
      <c r="S24" s="99"/>
      <c r="T24" s="576"/>
    </row>
    <row r="25" spans="2:21" outlineLevel="1" x14ac:dyDescent="0.25">
      <c r="B25" s="284" t="s">
        <v>228</v>
      </c>
      <c r="C25" s="138"/>
      <c r="D25" s="570" t="e">
        <f>#REF!</f>
        <v>#REF!</v>
      </c>
      <c r="E25" s="570" t="e">
        <f>#REF!</f>
        <v>#REF!</v>
      </c>
      <c r="F25" s="570" t="e">
        <f>#REF!</f>
        <v>#REF!</v>
      </c>
      <c r="G25" s="570" t="e">
        <f>#REF!</f>
        <v>#REF!</v>
      </c>
      <c r="H25" s="570" t="e">
        <f>#REF!</f>
        <v>#REF!</v>
      </c>
      <c r="I25" s="570" t="e">
        <f>#REF!</f>
        <v>#REF!</v>
      </c>
      <c r="J25" s="571" t="e">
        <f>#REF!</f>
        <v>#REF!</v>
      </c>
      <c r="K25" s="575"/>
      <c r="L25" s="581"/>
      <c r="M25" s="99"/>
      <c r="N25" s="99"/>
      <c r="O25" s="99"/>
      <c r="P25" s="99"/>
      <c r="Q25" s="99"/>
      <c r="R25" s="99"/>
      <c r="S25" s="99"/>
      <c r="T25" s="576"/>
    </row>
    <row r="26" spans="2:21" ht="15.75" outlineLevel="1" thickBot="1" x14ac:dyDescent="0.3">
      <c r="B26" s="290" t="s">
        <v>217</v>
      </c>
      <c r="C26" s="831"/>
      <c r="D26" s="582" t="e">
        <f>#REF!</f>
        <v>#REF!</v>
      </c>
      <c r="E26" s="582" t="e">
        <f>#REF!</f>
        <v>#REF!</v>
      </c>
      <c r="F26" s="582" t="e">
        <f>#REF!</f>
        <v>#REF!</v>
      </c>
      <c r="G26" s="582" t="e">
        <f>#REF!</f>
        <v>#REF!</v>
      </c>
      <c r="H26" s="582" t="e">
        <f>#REF!</f>
        <v>#REF!</v>
      </c>
      <c r="I26" s="582" t="e">
        <f>#REF!</f>
        <v>#REF!</v>
      </c>
      <c r="J26" s="583" t="e">
        <f>#REF!</f>
        <v>#REF!</v>
      </c>
      <c r="K26" s="584"/>
      <c r="L26" s="239"/>
      <c r="M26" s="239"/>
      <c r="N26" s="239"/>
      <c r="O26" s="239"/>
      <c r="P26" s="239"/>
      <c r="Q26" s="239"/>
      <c r="R26" s="239"/>
      <c r="S26" s="239"/>
      <c r="T26" s="585"/>
    </row>
    <row r="27" spans="2:21" ht="15.75" thickBot="1" x14ac:dyDescent="0.3">
      <c r="E27" s="4"/>
      <c r="F27" s="4"/>
      <c r="G27" s="4"/>
      <c r="H27" s="4"/>
      <c r="I27" s="4"/>
      <c r="J27" s="4"/>
    </row>
    <row r="28" spans="2:21" x14ac:dyDescent="0.25">
      <c r="B28" s="2070" t="s">
        <v>432</v>
      </c>
      <c r="C28" s="2071"/>
      <c r="D28" s="2074" t="s">
        <v>433</v>
      </c>
      <c r="E28" s="2075"/>
      <c r="F28" s="2075"/>
      <c r="G28" s="2075"/>
      <c r="H28" s="2075"/>
      <c r="I28" s="2075"/>
      <c r="J28" s="2076"/>
      <c r="K28" s="2074" t="s">
        <v>434</v>
      </c>
      <c r="L28" s="2075"/>
      <c r="M28" s="2075"/>
      <c r="N28" s="2075"/>
      <c r="O28" s="2075"/>
      <c r="P28" s="2075"/>
      <c r="Q28" s="2075"/>
      <c r="R28" s="2075"/>
      <c r="S28" s="2075"/>
      <c r="T28" s="2076"/>
    </row>
    <row r="29" spans="2:21" x14ac:dyDescent="0.25">
      <c r="B29" s="2072"/>
      <c r="C29" s="2073"/>
      <c r="D29" s="586" t="e">
        <f t="shared" ref="D29:J30" si="3">D3</f>
        <v>#REF!</v>
      </c>
      <c r="E29" s="587" t="e">
        <f t="shared" si="3"/>
        <v>#REF!</v>
      </c>
      <c r="F29" s="587" t="e">
        <f t="shared" si="3"/>
        <v>#REF!</v>
      </c>
      <c r="G29" s="587" t="e">
        <f t="shared" si="3"/>
        <v>#REF!</v>
      </c>
      <c r="H29" s="587" t="e">
        <f t="shared" si="3"/>
        <v>#REF!</v>
      </c>
      <c r="I29" s="587" t="e">
        <f t="shared" si="3"/>
        <v>#REF!</v>
      </c>
      <c r="J29" s="588" t="e">
        <f t="shared" si="3"/>
        <v>#REF!</v>
      </c>
      <c r="K29" s="589" t="e">
        <f>CONCATENATE(LEFT(J29,4)+1,"F")</f>
        <v>#REF!</v>
      </c>
      <c r="L29" s="590" t="e">
        <f t="shared" ref="L29:T29" si="4">CONCATENATE(LEFT(K29,4)+1,"F")</f>
        <v>#REF!</v>
      </c>
      <c r="M29" s="590" t="e">
        <f t="shared" si="4"/>
        <v>#REF!</v>
      </c>
      <c r="N29" s="590" t="e">
        <f t="shared" si="4"/>
        <v>#REF!</v>
      </c>
      <c r="O29" s="590" t="e">
        <f t="shared" si="4"/>
        <v>#REF!</v>
      </c>
      <c r="P29" s="590" t="e">
        <f t="shared" si="4"/>
        <v>#REF!</v>
      </c>
      <c r="Q29" s="590" t="e">
        <f t="shared" si="4"/>
        <v>#REF!</v>
      </c>
      <c r="R29" s="590" t="e">
        <f t="shared" si="4"/>
        <v>#REF!</v>
      </c>
      <c r="S29" s="590" t="e">
        <f t="shared" si="4"/>
        <v>#REF!</v>
      </c>
      <c r="T29" s="591" t="e">
        <f t="shared" si="4"/>
        <v>#REF!</v>
      </c>
    </row>
    <row r="30" spans="2:21" s="7" customFormat="1" x14ac:dyDescent="0.25">
      <c r="B30" s="592" t="s">
        <v>405</v>
      </c>
      <c r="C30" s="832"/>
      <c r="D30" s="593" t="e">
        <f t="shared" si="3"/>
        <v>#REF!</v>
      </c>
      <c r="E30" s="594" t="e">
        <f t="shared" si="3"/>
        <v>#REF!</v>
      </c>
      <c r="F30" s="594" t="e">
        <f t="shared" si="3"/>
        <v>#REF!</v>
      </c>
      <c r="G30" s="594" t="e">
        <f t="shared" si="3"/>
        <v>#REF!</v>
      </c>
      <c r="H30" s="594" t="e">
        <f t="shared" si="3"/>
        <v>#REF!</v>
      </c>
      <c r="I30" s="594" t="e">
        <f t="shared" si="3"/>
        <v>#REF!</v>
      </c>
      <c r="J30" s="595" t="e">
        <f t="shared" si="3"/>
        <v>#REF!</v>
      </c>
      <c r="K30" s="596" t="e">
        <f>Mali!#REF!</f>
        <v>#REF!</v>
      </c>
      <c r="L30" s="597" t="e">
        <f>Mali!#REF!</f>
        <v>#REF!</v>
      </c>
      <c r="M30" s="597" t="e">
        <f>Mali!#REF!</f>
        <v>#REF!</v>
      </c>
      <c r="N30" s="597" t="e">
        <f>Mali!#REF!</f>
        <v>#REF!</v>
      </c>
      <c r="O30" s="597" t="e">
        <f>Mali!#REF!</f>
        <v>#REF!</v>
      </c>
      <c r="P30" s="597" t="e">
        <f>Mali!#REF!</f>
        <v>#REF!</v>
      </c>
      <c r="Q30" s="597" t="e">
        <f>Mali!#REF!</f>
        <v>#REF!</v>
      </c>
      <c r="R30" s="597" t="e">
        <f>Mali!#REF!</f>
        <v>#REF!</v>
      </c>
      <c r="S30" s="597" t="e">
        <f>Mali!#REF!</f>
        <v>#REF!</v>
      </c>
      <c r="T30" s="598" t="e">
        <f>Mali!#REF!</f>
        <v>#REF!</v>
      </c>
    </row>
    <row r="31" spans="2:21" x14ac:dyDescent="0.25">
      <c r="B31" s="599" t="s">
        <v>406</v>
      </c>
      <c r="C31" s="833"/>
      <c r="D31" s="600" t="e">
        <f>-(D25-D21*D49-D18*D49-D17*D49)</f>
        <v>#REF!</v>
      </c>
      <c r="E31" s="601" t="e">
        <f t="shared" ref="E31:J31" si="5">-(E25-E21*E49-E18*E49-E17*E49)</f>
        <v>#REF!</v>
      </c>
      <c r="F31" s="601" t="e">
        <f t="shared" si="5"/>
        <v>#REF!</v>
      </c>
      <c r="G31" s="601" t="e">
        <f t="shared" si="5"/>
        <v>#REF!</v>
      </c>
      <c r="H31" s="601" t="e">
        <f t="shared" si="5"/>
        <v>#REF!</v>
      </c>
      <c r="I31" s="601" t="e">
        <f t="shared" si="5"/>
        <v>#REF!</v>
      </c>
      <c r="J31" s="602" t="e">
        <f t="shared" si="5"/>
        <v>#REF!</v>
      </c>
      <c r="K31" s="603" t="e">
        <f>SUM($F$31:$J$31)/SUM($F$30:$J$30)*K30</f>
        <v>#REF!</v>
      </c>
      <c r="L31" s="604" t="e">
        <f t="shared" ref="L31:T31" si="6">SUM($F$31:$J$31)/SUM($F$30:$J$30)*L30</f>
        <v>#REF!</v>
      </c>
      <c r="M31" s="604" t="e">
        <f t="shared" si="6"/>
        <v>#REF!</v>
      </c>
      <c r="N31" s="604" t="e">
        <f t="shared" si="6"/>
        <v>#REF!</v>
      </c>
      <c r="O31" s="604" t="e">
        <f t="shared" si="6"/>
        <v>#REF!</v>
      </c>
      <c r="P31" s="604" t="e">
        <f t="shared" si="6"/>
        <v>#REF!</v>
      </c>
      <c r="Q31" s="604" t="e">
        <f t="shared" si="6"/>
        <v>#REF!</v>
      </c>
      <c r="R31" s="604" t="e">
        <f t="shared" si="6"/>
        <v>#REF!</v>
      </c>
      <c r="S31" s="604" t="e">
        <f t="shared" si="6"/>
        <v>#REF!</v>
      </c>
      <c r="T31" s="605" t="e">
        <f t="shared" si="6"/>
        <v>#REF!</v>
      </c>
      <c r="U31" s="116" t="s">
        <v>420</v>
      </c>
    </row>
    <row r="32" spans="2:21" s="610" customFormat="1" x14ac:dyDescent="0.25">
      <c r="B32" s="606" t="s">
        <v>811</v>
      </c>
      <c r="C32" s="834"/>
      <c r="D32" s="607" t="e">
        <f>+D31/D30</f>
        <v>#REF!</v>
      </c>
      <c r="E32" s="608" t="e">
        <f t="shared" ref="E32:T32" si="7">+E31/E30</f>
        <v>#REF!</v>
      </c>
      <c r="F32" s="608" t="e">
        <f t="shared" si="7"/>
        <v>#REF!</v>
      </c>
      <c r="G32" s="608" t="e">
        <f t="shared" si="7"/>
        <v>#REF!</v>
      </c>
      <c r="H32" s="608" t="e">
        <f t="shared" si="7"/>
        <v>#REF!</v>
      </c>
      <c r="I32" s="608" t="e">
        <f t="shared" si="7"/>
        <v>#REF!</v>
      </c>
      <c r="J32" s="609" t="e">
        <f t="shared" si="7"/>
        <v>#REF!</v>
      </c>
      <c r="K32" s="1172" t="e">
        <f t="shared" si="7"/>
        <v>#REF!</v>
      </c>
      <c r="L32" s="1173" t="e">
        <f t="shared" si="7"/>
        <v>#REF!</v>
      </c>
      <c r="M32" s="1173" t="e">
        <f t="shared" si="7"/>
        <v>#REF!</v>
      </c>
      <c r="N32" s="1173" t="e">
        <f t="shared" si="7"/>
        <v>#REF!</v>
      </c>
      <c r="O32" s="1173" t="e">
        <f t="shared" si="7"/>
        <v>#REF!</v>
      </c>
      <c r="P32" s="1173" t="e">
        <f t="shared" si="7"/>
        <v>#REF!</v>
      </c>
      <c r="Q32" s="1173" t="e">
        <f t="shared" si="7"/>
        <v>#REF!</v>
      </c>
      <c r="R32" s="1173" t="e">
        <f t="shared" si="7"/>
        <v>#REF!</v>
      </c>
      <c r="S32" s="1173" t="e">
        <f t="shared" si="7"/>
        <v>#REF!</v>
      </c>
      <c r="T32" s="1174" t="e">
        <f t="shared" si="7"/>
        <v>#REF!</v>
      </c>
      <c r="U32" s="116"/>
    </row>
    <row r="33" spans="2:20" x14ac:dyDescent="0.25">
      <c r="B33" s="611" t="s">
        <v>409</v>
      </c>
      <c r="C33" s="575"/>
      <c r="D33" s="612"/>
      <c r="E33" s="136"/>
      <c r="F33" s="136"/>
      <c r="G33" s="136"/>
      <c r="H33" s="136"/>
      <c r="I33" s="136"/>
      <c r="J33" s="613"/>
      <c r="K33" s="603">
        <f t="shared" ref="K33:T33" si="8">J59-(J59/J49)*K49</f>
        <v>0</v>
      </c>
      <c r="L33" s="604">
        <f t="shared" si="8"/>
        <v>0</v>
      </c>
      <c r="M33" s="604" t="e">
        <f t="shared" si="8"/>
        <v>#REF!</v>
      </c>
      <c r="N33" s="604" t="e">
        <f t="shared" si="8"/>
        <v>#REF!</v>
      </c>
      <c r="O33" s="604" t="e">
        <f t="shared" si="8"/>
        <v>#REF!</v>
      </c>
      <c r="P33" s="604" t="e">
        <f t="shared" si="8"/>
        <v>#REF!</v>
      </c>
      <c r="Q33" s="604" t="e">
        <f t="shared" si="8"/>
        <v>#REF!</v>
      </c>
      <c r="R33" s="604" t="e">
        <f t="shared" si="8"/>
        <v>#REF!</v>
      </c>
      <c r="S33" s="604" t="e">
        <f t="shared" si="8"/>
        <v>#REF!</v>
      </c>
      <c r="T33" s="605" t="e">
        <f t="shared" si="8"/>
        <v>#REF!</v>
      </c>
    </row>
    <row r="34" spans="2:20" x14ac:dyDescent="0.25">
      <c r="B34" s="611" t="s">
        <v>408</v>
      </c>
      <c r="C34" s="575"/>
      <c r="D34" s="614" t="e">
        <f>#REF!-#REF!</f>
        <v>#REF!</v>
      </c>
      <c r="E34" s="570" t="e">
        <f>#REF!-#REF!</f>
        <v>#REF!</v>
      </c>
      <c r="F34" s="570" t="e">
        <f>#REF!-#REF!</f>
        <v>#REF!</v>
      </c>
      <c r="G34" s="570" t="e">
        <f>#REF!-#REF!</f>
        <v>#REF!</v>
      </c>
      <c r="H34" s="570" t="e">
        <f>#REF!-#REF!</f>
        <v>#REF!</v>
      </c>
      <c r="I34" s="570" t="e">
        <f>#REF!-#REF!</f>
        <v>#REF!</v>
      </c>
      <c r="J34" s="571" t="e">
        <f>#REF!-#REF!</f>
        <v>#REF!</v>
      </c>
      <c r="K34" s="603">
        <f>K59-J59</f>
        <v>30.350926602172848</v>
      </c>
      <c r="L34" s="604" t="e">
        <f t="shared" ref="L34:T34" si="9">L59-K59</f>
        <v>#REF!</v>
      </c>
      <c r="M34" s="604" t="e">
        <f t="shared" si="9"/>
        <v>#REF!</v>
      </c>
      <c r="N34" s="604" t="e">
        <f t="shared" si="9"/>
        <v>#REF!</v>
      </c>
      <c r="O34" s="604" t="e">
        <f t="shared" si="9"/>
        <v>#REF!</v>
      </c>
      <c r="P34" s="604" t="e">
        <f t="shared" si="9"/>
        <v>#REF!</v>
      </c>
      <c r="Q34" s="604" t="e">
        <f t="shared" si="9"/>
        <v>#REF!</v>
      </c>
      <c r="R34" s="604" t="e">
        <f t="shared" si="9"/>
        <v>#REF!</v>
      </c>
      <c r="S34" s="604" t="e">
        <f t="shared" si="9"/>
        <v>#REF!</v>
      </c>
      <c r="T34" s="605" t="e">
        <f t="shared" si="9"/>
        <v>#REF!</v>
      </c>
    </row>
    <row r="35" spans="2:20" x14ac:dyDescent="0.25">
      <c r="B35" s="615" t="s">
        <v>410</v>
      </c>
      <c r="C35" s="835"/>
      <c r="D35" s="616" t="e">
        <f>SUM(D30:D34)</f>
        <v>#REF!</v>
      </c>
      <c r="E35" s="617" t="e">
        <f t="shared" ref="E35:J35" si="10">SUM(E30:E34)</f>
        <v>#REF!</v>
      </c>
      <c r="F35" s="617" t="e">
        <f t="shared" si="10"/>
        <v>#REF!</v>
      </c>
      <c r="G35" s="617" t="e">
        <f t="shared" si="10"/>
        <v>#REF!</v>
      </c>
      <c r="H35" s="617" t="e">
        <f t="shared" si="10"/>
        <v>#REF!</v>
      </c>
      <c r="I35" s="617" t="e">
        <f t="shared" si="10"/>
        <v>#REF!</v>
      </c>
      <c r="J35" s="618" t="e">
        <f t="shared" si="10"/>
        <v>#REF!</v>
      </c>
      <c r="K35" s="619" t="e">
        <f>SUM(K30:K34)</f>
        <v>#REF!</v>
      </c>
      <c r="L35" s="620" t="e">
        <f t="shared" ref="L35:T35" si="11">SUM(L30:L34)</f>
        <v>#REF!</v>
      </c>
      <c r="M35" s="620" t="e">
        <f t="shared" si="11"/>
        <v>#REF!</v>
      </c>
      <c r="N35" s="620" t="e">
        <f t="shared" si="11"/>
        <v>#REF!</v>
      </c>
      <c r="O35" s="620" t="e">
        <f t="shared" si="11"/>
        <v>#REF!</v>
      </c>
      <c r="P35" s="620" t="e">
        <f t="shared" si="11"/>
        <v>#REF!</v>
      </c>
      <c r="Q35" s="620" t="e">
        <f t="shared" si="11"/>
        <v>#REF!</v>
      </c>
      <c r="R35" s="620" t="e">
        <f t="shared" si="11"/>
        <v>#REF!</v>
      </c>
      <c r="S35" s="620" t="e">
        <f t="shared" si="11"/>
        <v>#REF!</v>
      </c>
      <c r="T35" s="621" t="e">
        <f t="shared" si="11"/>
        <v>#REF!</v>
      </c>
    </row>
    <row r="36" spans="2:20" x14ac:dyDescent="0.25">
      <c r="B36" s="622" t="s">
        <v>411</v>
      </c>
      <c r="C36" s="836"/>
      <c r="D36" s="623" t="e">
        <f t="shared" ref="D36:J36" si="12">D5</f>
        <v>#REF!</v>
      </c>
      <c r="E36" s="624" t="e">
        <f t="shared" si="12"/>
        <v>#REF!</v>
      </c>
      <c r="F36" s="624" t="e">
        <f t="shared" si="12"/>
        <v>#REF!</v>
      </c>
      <c r="G36" s="624" t="e">
        <f t="shared" si="12"/>
        <v>#REF!</v>
      </c>
      <c r="H36" s="624" t="e">
        <f t="shared" si="12"/>
        <v>#REF!</v>
      </c>
      <c r="I36" s="624" t="e">
        <f t="shared" si="12"/>
        <v>#REF!</v>
      </c>
      <c r="J36" s="625" t="e">
        <f t="shared" si="12"/>
        <v>#REF!</v>
      </c>
      <c r="K36" s="626">
        <f>'Dep,Amort&amp;Capex'!E99</f>
        <v>454.57932084669727</v>
      </c>
      <c r="L36" s="627">
        <f>'Dep,Amort&amp;Capex'!F99</f>
        <v>496.67347885240684</v>
      </c>
      <c r="M36" s="627">
        <f>'Dep,Amort&amp;Capex'!G99</f>
        <v>543.47658632103958</v>
      </c>
      <c r="N36" s="627">
        <f>'Dep,Amort&amp;Capex'!H99</f>
        <v>595.43604265504075</v>
      </c>
      <c r="O36" s="627">
        <f>'Dep,Amort&amp;Capex'!I99</f>
        <v>653.05219033705498</v>
      </c>
      <c r="P36" s="627">
        <f>'Dep,Amort&amp;Capex'!J99</f>
        <v>696.59737215254506</v>
      </c>
      <c r="Q36" s="627">
        <f>'Dep,Amort&amp;Capex'!K99</f>
        <v>731.70906073335993</v>
      </c>
      <c r="R36" s="627">
        <f>'Dep,Amort&amp;Capex'!L99</f>
        <v>757.64237858170043</v>
      </c>
      <c r="S36" s="627">
        <f>'Dep,Amort&amp;Capex'!M99</f>
        <v>773.67396512836854</v>
      </c>
      <c r="T36" s="628">
        <f>'Dep,Amort&amp;Capex'!N99</f>
        <v>779.81745317580919</v>
      </c>
    </row>
    <row r="37" spans="2:20" x14ac:dyDescent="0.25">
      <c r="B37" s="629" t="s">
        <v>412</v>
      </c>
      <c r="C37" s="837"/>
      <c r="D37" s="630" t="e">
        <f>D35+D36</f>
        <v>#REF!</v>
      </c>
      <c r="E37" s="631" t="e">
        <f t="shared" ref="E37:T37" si="13">E35+E36</f>
        <v>#REF!</v>
      </c>
      <c r="F37" s="631" t="e">
        <f t="shared" si="13"/>
        <v>#REF!</v>
      </c>
      <c r="G37" s="631" t="e">
        <f t="shared" si="13"/>
        <v>#REF!</v>
      </c>
      <c r="H37" s="631" t="e">
        <f t="shared" si="13"/>
        <v>#REF!</v>
      </c>
      <c r="I37" s="631" t="e">
        <f t="shared" si="13"/>
        <v>#REF!</v>
      </c>
      <c r="J37" s="632" t="e">
        <f t="shared" si="13"/>
        <v>#REF!</v>
      </c>
      <c r="K37" s="633" t="e">
        <f t="shared" si="13"/>
        <v>#REF!</v>
      </c>
      <c r="L37" s="634" t="e">
        <f t="shared" si="13"/>
        <v>#REF!</v>
      </c>
      <c r="M37" s="634" t="e">
        <f t="shared" si="13"/>
        <v>#REF!</v>
      </c>
      <c r="N37" s="634" t="e">
        <f t="shared" si="13"/>
        <v>#REF!</v>
      </c>
      <c r="O37" s="634" t="e">
        <f t="shared" si="13"/>
        <v>#REF!</v>
      </c>
      <c r="P37" s="634" t="e">
        <f t="shared" si="13"/>
        <v>#REF!</v>
      </c>
      <c r="Q37" s="634" t="e">
        <f t="shared" si="13"/>
        <v>#REF!</v>
      </c>
      <c r="R37" s="634" t="e">
        <f t="shared" si="13"/>
        <v>#REF!</v>
      </c>
      <c r="S37" s="634" t="e">
        <f t="shared" si="13"/>
        <v>#REF!</v>
      </c>
      <c r="T37" s="635" t="e">
        <f t="shared" si="13"/>
        <v>#REF!</v>
      </c>
    </row>
    <row r="38" spans="2:20" ht="4.5" customHeight="1" x14ac:dyDescent="0.25">
      <c r="B38" s="636"/>
      <c r="C38" s="579"/>
      <c r="D38" s="637"/>
      <c r="E38" s="638"/>
      <c r="F38" s="638"/>
      <c r="G38" s="638"/>
      <c r="H38" s="638"/>
      <c r="I38" s="638"/>
      <c r="J38" s="639"/>
      <c r="K38" s="640"/>
      <c r="L38" s="354"/>
      <c r="M38" s="354"/>
      <c r="N38" s="354"/>
      <c r="O38" s="354"/>
      <c r="P38" s="354"/>
      <c r="Q38" s="354"/>
      <c r="R38" s="354"/>
      <c r="S38" s="354"/>
      <c r="T38" s="641"/>
    </row>
    <row r="39" spans="2:20" x14ac:dyDescent="0.25">
      <c r="B39" s="622" t="s">
        <v>413</v>
      </c>
      <c r="C39" s="836"/>
      <c r="D39" s="642" t="e">
        <f>#REF!</f>
        <v>#REF!</v>
      </c>
      <c r="E39" s="254" t="e">
        <f>#REF!</f>
        <v>#REF!</v>
      </c>
      <c r="F39" s="254" t="e">
        <f>#REF!</f>
        <v>#REF!</v>
      </c>
      <c r="G39" s="254" t="e">
        <f>#REF!</f>
        <v>#REF!</v>
      </c>
      <c r="H39" s="254" t="e">
        <f>#REF!</f>
        <v>#REF!</v>
      </c>
      <c r="I39" s="254" t="e">
        <f>#REF!</f>
        <v>#REF!</v>
      </c>
      <c r="J39" s="643" t="e">
        <f>#REF!</f>
        <v>#REF!</v>
      </c>
      <c r="K39" s="644" t="e">
        <f>WCR!#REF!</f>
        <v>#REF!</v>
      </c>
      <c r="L39" s="645" t="e">
        <f>WCR!#REF!</f>
        <v>#REF!</v>
      </c>
      <c r="M39" s="645" t="e">
        <f>WCR!#REF!</f>
        <v>#REF!</v>
      </c>
      <c r="N39" s="645" t="e">
        <f>WCR!#REF!</f>
        <v>#REF!</v>
      </c>
      <c r="O39" s="645" t="e">
        <f>WCR!#REF!</f>
        <v>#REF!</v>
      </c>
      <c r="P39" s="645" t="e">
        <f>WCR!#REF!</f>
        <v>#REF!</v>
      </c>
      <c r="Q39" s="645" t="e">
        <f>WCR!#REF!</f>
        <v>#REF!</v>
      </c>
      <c r="R39" s="646" t="e">
        <f>WCR!#REF!</f>
        <v>#REF!</v>
      </c>
      <c r="S39" s="645" t="e">
        <f>WCR!#REF!</f>
        <v>#REF!</v>
      </c>
      <c r="T39" s="647" t="e">
        <f>WCR!#REF!</f>
        <v>#REF!</v>
      </c>
    </row>
    <row r="40" spans="2:20" x14ac:dyDescent="0.25">
      <c r="B40" s="622" t="s">
        <v>414</v>
      </c>
      <c r="C40" s="836"/>
      <c r="D40" s="642">
        <f>-'Dep,Amort&amp;Capex'!E9</f>
        <v>-201.10499999999999</v>
      </c>
      <c r="E40" s="254">
        <f>-'Dep,Amort&amp;Capex'!F9</f>
        <v>-195.54</v>
      </c>
      <c r="F40" s="254">
        <f>-'Dep,Amort&amp;Capex'!G9</f>
        <v>-352.04</v>
      </c>
      <c r="G40" s="254">
        <f>-'Dep,Amort&amp;Capex'!H9</f>
        <v>-470.85500000000002</v>
      </c>
      <c r="H40" s="254">
        <f>-'Dep,Amort&amp;Capex'!I9</f>
        <v>-507.71499999999997</v>
      </c>
      <c r="I40" s="254">
        <f>-'Dep,Amort&amp;Capex'!J9</f>
        <v>-457.09199999999998</v>
      </c>
      <c r="J40" s="643">
        <f>-'Dep,Amort&amp;Capex'!K9</f>
        <v>-659.33600000000001</v>
      </c>
      <c r="K40" s="644">
        <f>-'Dep,Amort&amp;Capex'!E44</f>
        <v>-739.47582661315744</v>
      </c>
      <c r="L40" s="645">
        <f>-'Dep,Amort&amp;Capex'!F44</f>
        <v>-821.83939037188236</v>
      </c>
      <c r="M40" s="645">
        <f>-'Dep,Amort&amp;Capex'!G44</f>
        <v>-905.01785054867173</v>
      </c>
      <c r="N40" s="645">
        <f>-'Dep,Amort&amp;Capex'!H44</f>
        <v>-996.80869818149699</v>
      </c>
      <c r="O40" s="645">
        <f>-'Dep,Amort&amp;Capex'!I44</f>
        <v>-1098.1212466351228</v>
      </c>
      <c r="P40" s="645">
        <f>-'Dep,Amort&amp;Capex'!J44</f>
        <v>-1103.5299166607413</v>
      </c>
      <c r="Q40" s="645">
        <f>-'Dep,Amort&amp;Capex'!K44</f>
        <v>-1082.3491093148211</v>
      </c>
      <c r="R40" s="646">
        <f>-'Dep,Amort&amp;Capex'!L44</f>
        <v>-1043.6963440669895</v>
      </c>
      <c r="S40" s="645">
        <f>-'Dep,Amort&amp;Capex'!M44</f>
        <v>-986.58863268824996</v>
      </c>
      <c r="T40" s="647">
        <f>-'Dep,Amort&amp;Capex'!N44</f>
        <v>-916.67234309658386</v>
      </c>
    </row>
    <row r="41" spans="2:20" x14ac:dyDescent="0.25">
      <c r="B41" s="629" t="s">
        <v>415</v>
      </c>
      <c r="C41" s="837"/>
      <c r="D41" s="630" t="e">
        <f>D40+D39</f>
        <v>#REF!</v>
      </c>
      <c r="E41" s="631" t="e">
        <f t="shared" ref="E41:T41" si="14">E40+E39</f>
        <v>#REF!</v>
      </c>
      <c r="F41" s="631" t="e">
        <f t="shared" si="14"/>
        <v>#REF!</v>
      </c>
      <c r="G41" s="631" t="e">
        <f t="shared" si="14"/>
        <v>#REF!</v>
      </c>
      <c r="H41" s="631" t="e">
        <f t="shared" si="14"/>
        <v>#REF!</v>
      </c>
      <c r="I41" s="631" t="e">
        <f t="shared" si="14"/>
        <v>#REF!</v>
      </c>
      <c r="J41" s="632" t="e">
        <f t="shared" si="14"/>
        <v>#REF!</v>
      </c>
      <c r="K41" s="648" t="e">
        <f>K40+K39</f>
        <v>#REF!</v>
      </c>
      <c r="L41" s="534" t="e">
        <f t="shared" si="14"/>
        <v>#REF!</v>
      </c>
      <c r="M41" s="649" t="e">
        <f t="shared" si="14"/>
        <v>#REF!</v>
      </c>
      <c r="N41" s="649" t="e">
        <f t="shared" si="14"/>
        <v>#REF!</v>
      </c>
      <c r="O41" s="649" t="e">
        <f t="shared" si="14"/>
        <v>#REF!</v>
      </c>
      <c r="P41" s="535" t="e">
        <f t="shared" si="14"/>
        <v>#REF!</v>
      </c>
      <c r="Q41" s="649" t="e">
        <f t="shared" si="14"/>
        <v>#REF!</v>
      </c>
      <c r="R41" s="534" t="e">
        <f t="shared" si="14"/>
        <v>#REF!</v>
      </c>
      <c r="S41" s="649" t="e">
        <f t="shared" si="14"/>
        <v>#REF!</v>
      </c>
      <c r="T41" s="650" t="e">
        <f t="shared" si="14"/>
        <v>#REF!</v>
      </c>
    </row>
    <row r="42" spans="2:20" ht="5.25" customHeight="1" x14ac:dyDescent="0.25">
      <c r="B42" s="611"/>
      <c r="C42" s="575"/>
      <c r="D42" s="651"/>
      <c r="E42" s="652"/>
      <c r="F42" s="652"/>
      <c r="G42" s="652"/>
      <c r="H42" s="652"/>
      <c r="I42" s="652"/>
      <c r="J42" s="653"/>
      <c r="K42" s="640"/>
      <c r="L42" s="354"/>
      <c r="M42" s="354"/>
      <c r="N42" s="354"/>
      <c r="O42" s="354"/>
      <c r="P42" s="354"/>
      <c r="Q42" s="354"/>
      <c r="R42" s="354"/>
      <c r="S42" s="354"/>
      <c r="T42" s="641"/>
    </row>
    <row r="43" spans="2:20" ht="15.75" thickBot="1" x14ac:dyDescent="0.3">
      <c r="B43" s="654" t="s">
        <v>416</v>
      </c>
      <c r="C43" s="838"/>
      <c r="D43" s="655" t="e">
        <f>D37+D41</f>
        <v>#REF!</v>
      </c>
      <c r="E43" s="656" t="e">
        <f t="shared" ref="E43:T43" si="15">E37+E41</f>
        <v>#REF!</v>
      </c>
      <c r="F43" s="656" t="e">
        <f t="shared" si="15"/>
        <v>#REF!</v>
      </c>
      <c r="G43" s="656" t="e">
        <f t="shared" si="15"/>
        <v>#REF!</v>
      </c>
      <c r="H43" s="656" t="e">
        <f t="shared" si="15"/>
        <v>#REF!</v>
      </c>
      <c r="I43" s="656" t="e">
        <f t="shared" si="15"/>
        <v>#REF!</v>
      </c>
      <c r="J43" s="657" t="e">
        <f t="shared" si="15"/>
        <v>#REF!</v>
      </c>
      <c r="K43" s="658" t="e">
        <f t="shared" si="15"/>
        <v>#REF!</v>
      </c>
      <c r="L43" s="659" t="e">
        <f t="shared" si="15"/>
        <v>#REF!</v>
      </c>
      <c r="M43" s="659" t="e">
        <f t="shared" si="15"/>
        <v>#REF!</v>
      </c>
      <c r="N43" s="659" t="e">
        <f t="shared" si="15"/>
        <v>#REF!</v>
      </c>
      <c r="O43" s="659" t="e">
        <f t="shared" si="15"/>
        <v>#REF!</v>
      </c>
      <c r="P43" s="659" t="e">
        <f t="shared" si="15"/>
        <v>#REF!</v>
      </c>
      <c r="Q43" s="659" t="e">
        <f t="shared" si="15"/>
        <v>#REF!</v>
      </c>
      <c r="R43" s="659" t="e">
        <f t="shared" si="15"/>
        <v>#REF!</v>
      </c>
      <c r="S43" s="659" t="e">
        <f t="shared" si="15"/>
        <v>#REF!</v>
      </c>
      <c r="T43" s="660" t="e">
        <f t="shared" si="15"/>
        <v>#REF!</v>
      </c>
    </row>
    <row r="47" spans="2:20" x14ac:dyDescent="0.25">
      <c r="B47" s="661" t="s">
        <v>422</v>
      </c>
      <c r="C47" s="514"/>
      <c r="D47" s="662">
        <f>Mali!D56/Mali!C56-1</f>
        <v>-2.7103825555992667E-2</v>
      </c>
      <c r="E47" s="663">
        <f>Mali!E56/Mali!D56-1</f>
        <v>5.2264940506485447E-2</v>
      </c>
      <c r="F47" s="663">
        <f>Mali!F56/Mali!E56-1</f>
        <v>0.2163679534976255</v>
      </c>
      <c r="G47" s="663">
        <f>Mali!G56/Mali!F56-1</f>
        <v>0.25122223040025315</v>
      </c>
      <c r="H47" s="663">
        <f>Mali!H56/Mali!G56-1</f>
        <v>5.1232084991930771E-2</v>
      </c>
      <c r="I47" s="663">
        <f>Mali!I56/Mali!H56-1</f>
        <v>0.12762289448698017</v>
      </c>
      <c r="J47" s="664">
        <f>Mali!J56/Mali!I56-1</f>
        <v>0.1320171522641822</v>
      </c>
      <c r="K47" s="665" t="e">
        <f>Mali!#REF!/Mali!J56-1</f>
        <v>#REF!</v>
      </c>
      <c r="L47" s="666" t="e">
        <f>Mali!#REF!/Mali!#REF!-1</f>
        <v>#REF!</v>
      </c>
      <c r="M47" s="666" t="e">
        <f>Mali!#REF!/Mali!#REF!-1</f>
        <v>#REF!</v>
      </c>
      <c r="N47" s="666" t="e">
        <f>Mali!#REF!/Mali!#REF!-1</f>
        <v>#REF!</v>
      </c>
      <c r="O47" s="666" t="e">
        <f>Mali!#REF!/Mali!#REF!-1</f>
        <v>#REF!</v>
      </c>
      <c r="P47" s="666" t="e">
        <f>Mali!#REF!/Mali!#REF!-1</f>
        <v>#REF!</v>
      </c>
      <c r="Q47" s="666" t="e">
        <f>Mali!#REF!/Mali!#REF!-1</f>
        <v>#REF!</v>
      </c>
      <c r="R47" s="666" t="e">
        <f>Mali!#REF!/Mali!#REF!-1</f>
        <v>#REF!</v>
      </c>
      <c r="S47" s="666" t="e">
        <f>Mali!#REF!/Mali!#REF!-1</f>
        <v>#REF!</v>
      </c>
      <c r="T47" s="667" t="e">
        <f>Mali!#REF!/Mali!#REF!-1</f>
        <v>#REF!</v>
      </c>
    </row>
    <row r="48" spans="2:20" x14ac:dyDescent="0.25">
      <c r="B48" s="668" t="s">
        <v>417</v>
      </c>
      <c r="C48" s="693"/>
      <c r="D48" s="669" t="e">
        <f>-(D31+D34)/D30</f>
        <v>#REF!</v>
      </c>
      <c r="E48" s="670" t="e">
        <f t="shared" ref="E48:J48" si="16">-(E31+E34)/E30</f>
        <v>#REF!</v>
      </c>
      <c r="F48" s="670" t="e">
        <f t="shared" si="16"/>
        <v>#REF!</v>
      </c>
      <c r="G48" s="670" t="e">
        <f t="shared" si="16"/>
        <v>#REF!</v>
      </c>
      <c r="H48" s="670" t="e">
        <f t="shared" si="16"/>
        <v>#REF!</v>
      </c>
      <c r="I48" s="670" t="e">
        <f t="shared" si="16"/>
        <v>#REF!</v>
      </c>
      <c r="J48" s="671" t="e">
        <f t="shared" si="16"/>
        <v>#REF!</v>
      </c>
      <c r="K48" s="22"/>
      <c r="L48" s="99"/>
      <c r="M48" s="99"/>
      <c r="N48" s="99"/>
      <c r="O48" s="99"/>
      <c r="P48" s="99"/>
      <c r="Q48" s="99"/>
      <c r="R48" s="99"/>
      <c r="S48" s="99"/>
      <c r="T48" s="672"/>
    </row>
    <row r="49" spans="2:20" x14ac:dyDescent="0.25">
      <c r="B49" s="673" t="s">
        <v>407</v>
      </c>
      <c r="C49" s="685"/>
      <c r="D49" s="674">
        <f>Vars!E15</f>
        <v>0.2</v>
      </c>
      <c r="E49" s="675">
        <f>Vars!F15</f>
        <v>0.2</v>
      </c>
      <c r="F49" s="675">
        <f>Vars!G15</f>
        <v>0.2</v>
      </c>
      <c r="G49" s="675">
        <f>Vars!H15</f>
        <v>0.2</v>
      </c>
      <c r="H49" s="675">
        <f>Vars!I15</f>
        <v>0.2</v>
      </c>
      <c r="I49" s="675">
        <f>Vars!J15</f>
        <v>0.2</v>
      </c>
      <c r="J49" s="676">
        <f>Vars!K15</f>
        <v>0.2</v>
      </c>
      <c r="K49" s="674">
        <f>Vars!L15</f>
        <v>0.2</v>
      </c>
      <c r="L49" s="675">
        <f>Vars!M15</f>
        <v>0.2</v>
      </c>
      <c r="M49" s="675">
        <f>Vars!N15</f>
        <v>0.2</v>
      </c>
      <c r="N49" s="675">
        <f>Vars!O15</f>
        <v>0.2</v>
      </c>
      <c r="O49" s="675">
        <f>Vars!P15</f>
        <v>0.2</v>
      </c>
      <c r="P49" s="675">
        <f>Vars!Q15</f>
        <v>0.2</v>
      </c>
      <c r="Q49" s="675">
        <f>Vars!R15</f>
        <v>0.2</v>
      </c>
      <c r="R49" s="675">
        <f>Vars!S15</f>
        <v>0.2</v>
      </c>
      <c r="S49" s="675">
        <f>Vars!T15</f>
        <v>0.2</v>
      </c>
      <c r="T49" s="676">
        <f>Vars!U15</f>
        <v>0.2</v>
      </c>
    </row>
    <row r="50" spans="2:20" x14ac:dyDescent="0.25">
      <c r="B50" s="677" t="s">
        <v>421</v>
      </c>
      <c r="C50" s="839"/>
      <c r="D50" s="678">
        <f>(Mali!D40/'Adj (2)'!D49)/Mali!D18</f>
        <v>0.3826071509811439</v>
      </c>
      <c r="E50" s="679">
        <f>(Mali!E40/'Adj (2)'!E49)/Mali!E18</f>
        <v>0.51327415960934164</v>
      </c>
      <c r="F50" s="679">
        <f>(Mali!F40/'Adj (2)'!F49)/Mali!F18</f>
        <v>0.78150259772843034</v>
      </c>
      <c r="G50" s="679">
        <f>(Mali!G40/'Adj (2)'!G49)/Mali!G18</f>
        <v>0.73720081601443921</v>
      </c>
      <c r="H50" s="679">
        <f>(Mali!H40/'Adj (2)'!H49)/Mali!H18</f>
        <v>0.66832662869823367</v>
      </c>
      <c r="I50" s="679">
        <f>(Mali!I40/'Adj (2)'!I49)/Mali!I18</f>
        <v>0.67693433056809937</v>
      </c>
      <c r="J50" s="680">
        <f>(Mali!J40/'Adj (2)'!J49)/Mali!J18</f>
        <v>0.36395587823950765</v>
      </c>
      <c r="K50" s="681">
        <f>AVERAGE(D50:J50)</f>
        <v>0.58911450883417082</v>
      </c>
      <c r="L50" s="682" t="e">
        <f>K50+($T$50-$K$50)/9</f>
        <v>#REF!</v>
      </c>
      <c r="M50" s="683" t="e">
        <f t="shared" ref="M50:S50" si="17">L50+($T$50-$K$50)/9</f>
        <v>#REF!</v>
      </c>
      <c r="N50" s="683" t="e">
        <f t="shared" si="17"/>
        <v>#REF!</v>
      </c>
      <c r="O50" s="683" t="e">
        <f t="shared" si="17"/>
        <v>#REF!</v>
      </c>
      <c r="P50" s="683" t="e">
        <f t="shared" si="17"/>
        <v>#REF!</v>
      </c>
      <c r="Q50" s="683" t="e">
        <f t="shared" si="17"/>
        <v>#REF!</v>
      </c>
      <c r="R50" s="683" t="e">
        <f t="shared" si="17"/>
        <v>#REF!</v>
      </c>
      <c r="S50" s="683" t="e">
        <f t="shared" si="17"/>
        <v>#REF!</v>
      </c>
      <c r="T50" s="684" t="e">
        <f>T57/(T53*(1-T55))</f>
        <v>#REF!</v>
      </c>
    </row>
    <row r="51" spans="2:20" ht="9.75" customHeight="1" x14ac:dyDescent="0.25"/>
    <row r="52" spans="2:20" s="7" customFormat="1" x14ac:dyDescent="0.25">
      <c r="B52" s="685" t="s">
        <v>423</v>
      </c>
      <c r="C52" s="110"/>
      <c r="D52" s="686"/>
      <c r="E52" s="686"/>
      <c r="F52" s="686"/>
      <c r="G52" s="686"/>
      <c r="H52" s="686"/>
      <c r="I52" s="686"/>
      <c r="J52" s="686"/>
      <c r="K52" s="110"/>
      <c r="L52" s="110"/>
      <c r="M52" s="110"/>
      <c r="N52" s="110"/>
      <c r="O52" s="110"/>
      <c r="P52" s="110"/>
      <c r="Q52" s="110"/>
      <c r="R52" s="110"/>
      <c r="S52" s="110"/>
      <c r="T52" s="687">
        <v>10</v>
      </c>
    </row>
    <row r="53" spans="2:20" x14ac:dyDescent="0.25">
      <c r="B53" s="688" t="s">
        <v>424</v>
      </c>
      <c r="C53" s="840"/>
      <c r="D53" s="689"/>
      <c r="E53" s="689"/>
      <c r="F53" s="689"/>
      <c r="G53" s="689"/>
      <c r="H53" s="689"/>
      <c r="I53" s="689"/>
      <c r="J53" s="689"/>
      <c r="K53" s="99"/>
      <c r="L53" s="99"/>
      <c r="M53" s="99"/>
      <c r="N53" s="99"/>
      <c r="O53" s="99"/>
      <c r="P53" s="99"/>
      <c r="Q53" s="99"/>
      <c r="R53" s="99"/>
      <c r="S53" s="99"/>
      <c r="T53" s="690" t="e">
        <f>IF(T47=0,T52,(1+T47-((1+T47)^-(T52-1)))/T47)</f>
        <v>#REF!</v>
      </c>
    </row>
    <row r="54" spans="2:20" x14ac:dyDescent="0.25">
      <c r="B54" s="688" t="s">
        <v>425</v>
      </c>
      <c r="C54" s="840"/>
      <c r="D54" s="689"/>
      <c r="E54" s="689"/>
      <c r="F54" s="689"/>
      <c r="G54" s="689"/>
      <c r="H54" s="689"/>
      <c r="I54" s="689"/>
      <c r="J54" s="689"/>
      <c r="K54" s="99"/>
      <c r="L54" s="99"/>
      <c r="M54" s="99"/>
      <c r="N54" s="99"/>
      <c r="O54" s="99"/>
      <c r="P54" s="99"/>
      <c r="Q54" s="99"/>
      <c r="R54" s="99"/>
      <c r="S54" s="99"/>
      <c r="T54" s="690" t="e">
        <f>IF(T47=0,T52,(1+T47-((1+T47)^-(T52-1)))/T47)</f>
        <v>#REF!</v>
      </c>
    </row>
    <row r="55" spans="2:20" x14ac:dyDescent="0.25">
      <c r="B55" s="691" t="s">
        <v>426</v>
      </c>
      <c r="C55" s="500"/>
      <c r="D55" s="689"/>
      <c r="E55" s="689"/>
      <c r="F55" s="689"/>
      <c r="G55" s="689"/>
      <c r="H55" s="689"/>
      <c r="I55" s="689"/>
      <c r="J55" s="689"/>
      <c r="K55" s="99"/>
      <c r="L55" s="99"/>
      <c r="M55" s="99"/>
      <c r="N55" s="99"/>
      <c r="O55" s="99"/>
      <c r="P55" s="99"/>
      <c r="Q55" s="99"/>
      <c r="R55" s="99"/>
      <c r="S55" s="99"/>
      <c r="T55" s="692" t="e">
        <f>IF(T47=0,0.5*((T52-1)/T52),1/(T47*T52)-1/((1+T47)^T52-1) )</f>
        <v>#REF!</v>
      </c>
    </row>
    <row r="56" spans="2:20" s="7" customFormat="1" x14ac:dyDescent="0.25">
      <c r="B56" s="693" t="s">
        <v>427</v>
      </c>
      <c r="C56" s="841"/>
      <c r="D56" s="694"/>
      <c r="E56" s="694"/>
      <c r="F56" s="694"/>
      <c r="G56" s="694"/>
      <c r="H56" s="694"/>
      <c r="I56" s="694"/>
      <c r="J56" s="694"/>
      <c r="K56" s="240"/>
      <c r="L56" s="240"/>
      <c r="M56" s="240"/>
      <c r="N56" s="240"/>
      <c r="O56" s="240"/>
      <c r="P56" s="240"/>
      <c r="Q56" s="240"/>
      <c r="R56" s="240"/>
      <c r="S56" s="240"/>
      <c r="T56" s="695">
        <v>5</v>
      </c>
    </row>
    <row r="57" spans="2:20" x14ac:dyDescent="0.25">
      <c r="B57" s="696" t="s">
        <v>428</v>
      </c>
      <c r="C57" s="842"/>
      <c r="D57" s="697"/>
      <c r="E57" s="697"/>
      <c r="F57" s="697"/>
      <c r="G57" s="697"/>
      <c r="H57" s="697"/>
      <c r="I57" s="697"/>
      <c r="J57" s="697"/>
      <c r="K57" s="106"/>
      <c r="L57" s="106"/>
      <c r="M57" s="106"/>
      <c r="N57" s="106"/>
      <c r="O57" s="106"/>
      <c r="P57" s="106"/>
      <c r="Q57" s="106"/>
      <c r="R57" s="106"/>
      <c r="S57" s="106"/>
      <c r="T57" s="698" t="e">
        <f>IF(  T47=0, 0.5*(T56-1)+(T52-T56)-0.5*(T52-1), (1/(T47*T47*T56))*(1+T47-(T56*T47+1)*((1+T47)^-(T56-1)))  +  (1/T47)*(1+T47-((1+T47)^-(T52-T56-1)))*((1+T47)^-T56) - (1/(T47*T47*T52))*(1+T47-(T52*T47+1)*((1+T47)^-(T52-1))) )</f>
        <v>#REF!</v>
      </c>
    </row>
    <row r="58" spans="2:20" ht="9" customHeight="1" x14ac:dyDescent="0.25"/>
    <row r="59" spans="2:20" x14ac:dyDescent="0.25">
      <c r="B59" s="699" t="s">
        <v>199</v>
      </c>
      <c r="C59" s="843"/>
      <c r="D59" s="700">
        <f>Mali!C40</f>
        <v>91.471000000000004</v>
      </c>
      <c r="E59" s="700">
        <f>Mali!D40</f>
        <v>95.200999999999993</v>
      </c>
      <c r="F59" s="700">
        <f>Mali!E40</f>
        <v>128.54900000000001</v>
      </c>
      <c r="G59" s="700">
        <f>Mali!F40</f>
        <v>226.142</v>
      </c>
      <c r="H59" s="700">
        <f>Mali!G40</f>
        <v>236.40600000000001</v>
      </c>
      <c r="I59" s="700">
        <f>Mali!H40</f>
        <v>245.51499999999999</v>
      </c>
      <c r="J59" s="700">
        <f>Mali!I40</f>
        <v>245.422</v>
      </c>
      <c r="K59" s="701">
        <f t="shared" ref="K59:T59" si="18">K60*K49*K50</f>
        <v>275.77292660217284</v>
      </c>
      <c r="L59" s="702" t="e">
        <f t="shared" si="18"/>
        <v>#REF!</v>
      </c>
      <c r="M59" s="702" t="e">
        <f t="shared" si="18"/>
        <v>#REF!</v>
      </c>
      <c r="N59" s="702" t="e">
        <f t="shared" si="18"/>
        <v>#REF!</v>
      </c>
      <c r="O59" s="702" t="e">
        <f t="shared" si="18"/>
        <v>#REF!</v>
      </c>
      <c r="P59" s="702" t="e">
        <f t="shared" si="18"/>
        <v>#REF!</v>
      </c>
      <c r="Q59" s="702" t="e">
        <f t="shared" si="18"/>
        <v>#REF!</v>
      </c>
      <c r="R59" s="702" t="e">
        <f t="shared" si="18"/>
        <v>#REF!</v>
      </c>
      <c r="S59" s="702" t="e">
        <f t="shared" si="18"/>
        <v>#REF!</v>
      </c>
      <c r="T59" s="703" t="e">
        <f t="shared" si="18"/>
        <v>#REF!</v>
      </c>
    </row>
    <row r="60" spans="2:20" x14ac:dyDescent="0.25">
      <c r="B60" s="696" t="s">
        <v>431</v>
      </c>
      <c r="C60" s="842"/>
      <c r="D60" s="704">
        <f>Mali!D18</f>
        <v>1244.1089999999999</v>
      </c>
      <c r="E60" s="704">
        <f>Mali!E18</f>
        <v>1252.2449999999999</v>
      </c>
      <c r="F60" s="704">
        <f>Mali!F18</f>
        <v>1446.8409999999999</v>
      </c>
      <c r="G60" s="704">
        <f>Mali!G18</f>
        <v>1603.403</v>
      </c>
      <c r="H60" s="704">
        <f>Mali!H18</f>
        <v>1836.789</v>
      </c>
      <c r="I60" s="704">
        <f>Mali!I18</f>
        <v>1812.7460000000001</v>
      </c>
      <c r="J60" s="704">
        <f>Mali!J18</f>
        <v>2055.6750000000002</v>
      </c>
      <c r="K60" s="705">
        <f>J60+'Dep,Amort&amp;Capex'!E44-'Dep,Amort&amp;Capex'!E99</f>
        <v>2340.5715057664606</v>
      </c>
      <c r="L60" s="706">
        <f>K60+'Dep,Amort&amp;Capex'!F44-'Dep,Amort&amp;Capex'!F99</f>
        <v>2665.7374172859363</v>
      </c>
      <c r="M60" s="706">
        <f>L60+'Dep,Amort&amp;Capex'!G44-'Dep,Amort&amp;Capex'!G99</f>
        <v>3027.2786815135687</v>
      </c>
      <c r="N60" s="706">
        <f>M60+'Dep,Amort&amp;Capex'!H44-'Dep,Amort&amp;Capex'!H99</f>
        <v>3428.6513370400248</v>
      </c>
      <c r="O60" s="706">
        <f>N60+'Dep,Amort&amp;Capex'!I44-'Dep,Amort&amp;Capex'!I99</f>
        <v>3873.7203933380929</v>
      </c>
      <c r="P60" s="706">
        <f>O60+'Dep,Amort&amp;Capex'!J44-'Dep,Amort&amp;Capex'!J99</f>
        <v>4280.6529378462892</v>
      </c>
      <c r="Q60" s="706">
        <f>P60+'Dep,Amort&amp;Capex'!K44-'Dep,Amort&amp;Capex'!K99</f>
        <v>4631.2929864277503</v>
      </c>
      <c r="R60" s="706">
        <f>Q60+'Dep,Amort&amp;Capex'!L44-'Dep,Amort&amp;Capex'!L99</f>
        <v>4917.3469519130394</v>
      </c>
      <c r="S60" s="706">
        <f>R60+'Dep,Amort&amp;Capex'!M44-'Dep,Amort&amp;Capex'!M99</f>
        <v>5130.2616194729208</v>
      </c>
      <c r="T60" s="707">
        <f>S60+'Dep,Amort&amp;Capex'!N44-'Dep,Amort&amp;Capex'!N99</f>
        <v>5267.1165093936952</v>
      </c>
    </row>
    <row r="62" spans="2:20" x14ac:dyDescent="0.25">
      <c r="B62" s="708" t="s">
        <v>777</v>
      </c>
      <c r="C62" s="708"/>
      <c r="D62" s="709" t="e">
        <f>(D25-D21*0.2)/D24</f>
        <v>#REF!</v>
      </c>
      <c r="E62" s="709" t="e">
        <f t="shared" ref="E62:J62" si="19">(E25-E21*0.2)/E24</f>
        <v>#REF!</v>
      </c>
      <c r="F62" s="709" t="e">
        <f t="shared" si="19"/>
        <v>#REF!</v>
      </c>
      <c r="G62" s="709" t="e">
        <f t="shared" si="19"/>
        <v>#REF!</v>
      </c>
      <c r="H62" s="709" t="e">
        <f t="shared" si="19"/>
        <v>#REF!</v>
      </c>
      <c r="I62" s="709" t="e">
        <f t="shared" si="19"/>
        <v>#REF!</v>
      </c>
      <c r="J62" s="709" t="e">
        <f t="shared" si="19"/>
        <v>#REF!</v>
      </c>
    </row>
    <row r="63" spans="2:20" x14ac:dyDescent="0.25">
      <c r="B63" s="708"/>
      <c r="C63" s="708"/>
      <c r="D63" s="710"/>
      <c r="E63" s="710"/>
      <c r="F63" s="710"/>
      <c r="G63" s="710"/>
      <c r="H63" s="710"/>
      <c r="I63" s="710"/>
      <c r="J63" s="710"/>
    </row>
    <row r="64" spans="2:20" s="7" customFormat="1" x14ac:dyDescent="0.25">
      <c r="B64" s="711" t="s">
        <v>778</v>
      </c>
      <c r="C64" s="711"/>
      <c r="D64" s="712"/>
      <c r="E64" s="712"/>
      <c r="F64" s="712"/>
      <c r="G64" s="712"/>
      <c r="H64" s="712"/>
      <c r="I64" s="712"/>
      <c r="J64" s="712"/>
    </row>
    <row r="65" spans="2:10" x14ac:dyDescent="0.25">
      <c r="B65" s="708" t="s">
        <v>770</v>
      </c>
      <c r="C65" s="708"/>
      <c r="D65" s="713" t="e">
        <f>+D25</f>
        <v>#REF!</v>
      </c>
      <c r="E65" s="713" t="e">
        <f t="shared" ref="E65:J65" si="20">+E25</f>
        <v>#REF!</v>
      </c>
      <c r="F65" s="713" t="e">
        <f t="shared" si="20"/>
        <v>#REF!</v>
      </c>
      <c r="G65" s="713" t="e">
        <f t="shared" si="20"/>
        <v>#REF!</v>
      </c>
      <c r="H65" s="713" t="e">
        <f t="shared" si="20"/>
        <v>#REF!</v>
      </c>
      <c r="I65" s="713" t="e">
        <f t="shared" si="20"/>
        <v>#REF!</v>
      </c>
      <c r="J65" s="713" t="e">
        <f t="shared" si="20"/>
        <v>#REF!</v>
      </c>
    </row>
    <row r="66" spans="2:10" x14ac:dyDescent="0.25">
      <c r="B66" s="708" t="s">
        <v>771</v>
      </c>
      <c r="C66" s="708"/>
      <c r="D66" s="710"/>
      <c r="E66" s="710"/>
      <c r="F66" s="710"/>
      <c r="G66" s="710"/>
      <c r="H66" s="710"/>
      <c r="I66" s="710"/>
      <c r="J66" s="710"/>
    </row>
    <row r="67" spans="2:10" x14ac:dyDescent="0.25">
      <c r="B67" s="708" t="s">
        <v>772</v>
      </c>
      <c r="C67" s="708"/>
      <c r="D67" s="710"/>
      <c r="E67" s="710"/>
      <c r="F67" s="710"/>
      <c r="G67" s="710"/>
      <c r="H67" s="710"/>
      <c r="I67" s="710"/>
      <c r="J67" s="710"/>
    </row>
    <row r="68" spans="2:10" x14ac:dyDescent="0.25">
      <c r="B68" s="708" t="s">
        <v>773</v>
      </c>
      <c r="C68" s="708"/>
      <c r="D68" s="713" t="e">
        <f>-D21*0.2</f>
        <v>#REF!</v>
      </c>
      <c r="E68" s="713" t="e">
        <f t="shared" ref="E68:J68" si="21">-E21*0.2</f>
        <v>#REF!</v>
      </c>
      <c r="F68" s="713" t="e">
        <f t="shared" si="21"/>
        <v>#REF!</v>
      </c>
      <c r="G68" s="713" t="e">
        <f t="shared" si="21"/>
        <v>#REF!</v>
      </c>
      <c r="H68" s="713" t="e">
        <f t="shared" si="21"/>
        <v>#REF!</v>
      </c>
      <c r="I68" s="713" t="e">
        <f t="shared" si="21"/>
        <v>#REF!</v>
      </c>
      <c r="J68" s="713" t="e">
        <f t="shared" si="21"/>
        <v>#REF!</v>
      </c>
    </row>
    <row r="69" spans="2:10" x14ac:dyDescent="0.25">
      <c r="B69" s="708" t="s">
        <v>774</v>
      </c>
      <c r="C69" s="708"/>
      <c r="D69" s="713" t="e">
        <f>-D62*D18</f>
        <v>#REF!</v>
      </c>
      <c r="E69" s="713" t="e">
        <f t="shared" ref="E69:J69" si="22">-E62*E18</f>
        <v>#REF!</v>
      </c>
      <c r="F69" s="713" t="e">
        <f t="shared" si="22"/>
        <v>#REF!</v>
      </c>
      <c r="G69" s="713" t="e">
        <f t="shared" si="22"/>
        <v>#REF!</v>
      </c>
      <c r="H69" s="713" t="e">
        <f t="shared" si="22"/>
        <v>#REF!</v>
      </c>
      <c r="I69" s="713" t="e">
        <f t="shared" si="22"/>
        <v>#REF!</v>
      </c>
      <c r="J69" s="713" t="e">
        <f t="shared" si="22"/>
        <v>#REF!</v>
      </c>
    </row>
    <row r="70" spans="2:10" s="7" customFormat="1" x14ac:dyDescent="0.25">
      <c r="B70" s="711" t="s">
        <v>775</v>
      </c>
      <c r="C70" s="711"/>
      <c r="D70" s="714" t="e">
        <f>SUM(D65:D69)</f>
        <v>#REF!</v>
      </c>
      <c r="E70" s="714" t="e">
        <f t="shared" ref="E70:J70" si="23">SUM(E65:E69)</f>
        <v>#REF!</v>
      </c>
      <c r="F70" s="714" t="e">
        <f t="shared" si="23"/>
        <v>#REF!</v>
      </c>
      <c r="G70" s="714" t="e">
        <f t="shared" si="23"/>
        <v>#REF!</v>
      </c>
      <c r="H70" s="714" t="e">
        <f t="shared" si="23"/>
        <v>#REF!</v>
      </c>
      <c r="I70" s="714" t="e">
        <f t="shared" si="23"/>
        <v>#REF!</v>
      </c>
      <c r="J70" s="714" t="e">
        <f t="shared" si="23"/>
        <v>#REF!</v>
      </c>
    </row>
    <row r="71" spans="2:10" x14ac:dyDescent="0.25">
      <c r="B71" s="708" t="s">
        <v>779</v>
      </c>
      <c r="C71" s="708"/>
      <c r="D71" s="710"/>
      <c r="E71" s="710"/>
      <c r="F71" s="710"/>
      <c r="G71" s="710"/>
      <c r="H71" s="710"/>
      <c r="I71" s="710"/>
      <c r="J71" s="710"/>
    </row>
    <row r="72" spans="2:10" s="7" customFormat="1" x14ac:dyDescent="0.25">
      <c r="B72" s="711" t="s">
        <v>776</v>
      </c>
      <c r="C72" s="711"/>
      <c r="D72" s="712"/>
      <c r="E72" s="712"/>
      <c r="F72" s="712"/>
      <c r="G72" s="712"/>
      <c r="H72" s="712"/>
      <c r="I72" s="712"/>
      <c r="J72" s="712"/>
    </row>
  </sheetData>
  <mergeCells count="3">
    <mergeCell ref="B28:C29"/>
    <mergeCell ref="D28:J28"/>
    <mergeCell ref="K28:T28"/>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3">
    <tabColor rgb="FFFF0000"/>
  </sheetPr>
  <dimension ref="A1:Z24"/>
  <sheetViews>
    <sheetView zoomScale="142" zoomScaleNormal="142" workbookViewId="0">
      <selection activeCell="L6" sqref="L6:V6"/>
    </sheetView>
  </sheetViews>
  <sheetFormatPr defaultColWidth="9.140625" defaultRowHeight="13.5" x14ac:dyDescent="0.25"/>
  <cols>
    <col min="1" max="1" width="5.5703125" style="1" customWidth="1"/>
    <col min="2" max="2" width="1.7109375" style="1" customWidth="1"/>
    <col min="3" max="3" width="31" style="1" customWidth="1"/>
    <col min="4" max="6" width="6" style="1" bestFit="1" customWidth="1"/>
    <col min="7" max="7" width="6.28515625" style="1" bestFit="1" customWidth="1"/>
    <col min="8" max="10" width="6" style="1" bestFit="1" customWidth="1"/>
    <col min="11" max="11" width="6" style="1" customWidth="1"/>
    <col min="12" max="22" width="7.140625" style="2" bestFit="1" customWidth="1"/>
    <col min="23" max="25" width="9.140625" style="1"/>
    <col min="26" max="26" width="19.28515625" style="1" hidden="1" customWidth="1"/>
    <col min="27" max="16384" width="9.140625" style="1"/>
  </cols>
  <sheetData>
    <row r="1" spans="1:26" x14ac:dyDescent="0.25">
      <c r="B1" s="783"/>
      <c r="C1" s="783"/>
      <c r="D1" s="784" t="str">
        <f>CONCATENATE(D4,"/12")</f>
        <v>2008/12</v>
      </c>
      <c r="E1" s="784" t="str">
        <f t="shared" ref="E1:K1" si="0">CONCATENATE(E4,"/12")</f>
        <v>2009/12</v>
      </c>
      <c r="F1" s="784" t="str">
        <f t="shared" si="0"/>
        <v>2010/12</v>
      </c>
      <c r="G1" s="784" t="str">
        <f t="shared" si="0"/>
        <v>2011/12</v>
      </c>
      <c r="H1" s="784" t="str">
        <f t="shared" si="0"/>
        <v>2012/12</v>
      </c>
      <c r="I1" s="784" t="str">
        <f t="shared" si="0"/>
        <v>2013/12</v>
      </c>
      <c r="J1" s="784" t="str">
        <f t="shared" si="0"/>
        <v>2014/12</v>
      </c>
      <c r="K1" s="784" t="str">
        <f t="shared" si="0"/>
        <v>2015/12</v>
      </c>
      <c r="Z1" s="783"/>
    </row>
    <row r="2" spans="1:26" ht="14.25" thickBot="1" x14ac:dyDescent="0.3"/>
    <row r="3" spans="1:26" ht="21" x14ac:dyDescent="0.45">
      <c r="B3" s="2008"/>
      <c r="C3" s="2009"/>
      <c r="D3" s="2077" t="s">
        <v>942</v>
      </c>
      <c r="E3" s="2077"/>
      <c r="F3" s="2077"/>
      <c r="G3" s="2077"/>
      <c r="H3" s="2077"/>
      <c r="I3" s="2077"/>
      <c r="J3" s="2077"/>
      <c r="K3" s="2077"/>
      <c r="L3" s="2077" t="s">
        <v>992</v>
      </c>
      <c r="M3" s="2077"/>
      <c r="N3" s="2077"/>
      <c r="O3" s="2077"/>
      <c r="P3" s="2077"/>
      <c r="Q3" s="2077"/>
      <c r="R3" s="2077"/>
      <c r="S3" s="2077"/>
      <c r="T3" s="2077"/>
      <c r="U3" s="2077"/>
      <c r="V3" s="2078"/>
    </row>
    <row r="4" spans="1:26" s="3" customFormat="1" ht="16.5" thickBot="1" x14ac:dyDescent="0.3">
      <c r="A4" s="1"/>
      <c r="B4" s="2010" t="s">
        <v>919</v>
      </c>
      <c r="C4" s="1195"/>
      <c r="D4" s="1196">
        <v>2008</v>
      </c>
      <c r="E4" s="1196">
        <f>D4+1</f>
        <v>2009</v>
      </c>
      <c r="F4" s="1196">
        <f t="shared" ref="F4:K4" si="1">E4+1</f>
        <v>2010</v>
      </c>
      <c r="G4" s="1196">
        <f t="shared" si="1"/>
        <v>2011</v>
      </c>
      <c r="H4" s="1196">
        <f t="shared" si="1"/>
        <v>2012</v>
      </c>
      <c r="I4" s="1196">
        <f t="shared" si="1"/>
        <v>2013</v>
      </c>
      <c r="J4" s="1196">
        <f t="shared" si="1"/>
        <v>2014</v>
      </c>
      <c r="K4" s="1196">
        <f t="shared" si="1"/>
        <v>2015</v>
      </c>
      <c r="L4" s="1196" t="str">
        <f>CONCATENATE(K4+1,"T")</f>
        <v>2016T</v>
      </c>
      <c r="M4" s="1196" t="str">
        <f>CONCATENATE($K$4+2,"T")</f>
        <v>2017T</v>
      </c>
      <c r="N4" s="1196" t="str">
        <f>CONCATENATE($K$4+3,"T")</f>
        <v>2018T</v>
      </c>
      <c r="O4" s="1196" t="str">
        <f>CONCATENATE($K$4+4,"T")</f>
        <v>2019T</v>
      </c>
      <c r="P4" s="1196" t="str">
        <f>CONCATENATE($K$4+5,"T")</f>
        <v>2020T</v>
      </c>
      <c r="Q4" s="1196" t="str">
        <f>CONCATENATE($K$4+6,"T")</f>
        <v>2021T</v>
      </c>
      <c r="R4" s="1196" t="str">
        <f>CONCATENATE($K$4+7,"T")</f>
        <v>2022T</v>
      </c>
      <c r="S4" s="1196" t="str">
        <f>CONCATENATE($K$4+8,"T")</f>
        <v>2023T</v>
      </c>
      <c r="T4" s="1196" t="str">
        <f>CONCATENATE($K$4+9,"T")</f>
        <v>2024T</v>
      </c>
      <c r="U4" s="1196" t="str">
        <f>CONCATENATE($K$4+10,"T")</f>
        <v>2025T</v>
      </c>
      <c r="V4" s="2011" t="str">
        <f>CONCATENATE($K$4+11,"T")</f>
        <v>2026T</v>
      </c>
      <c r="Z4" s="120" t="s">
        <v>527</v>
      </c>
    </row>
    <row r="5" spans="1:26" ht="5.25" customHeight="1" thickTop="1" x14ac:dyDescent="0.25">
      <c r="B5" s="2012"/>
      <c r="C5" s="138"/>
      <c r="D5" s="1239"/>
      <c r="E5" s="1235"/>
      <c r="F5" s="1235"/>
      <c r="G5" s="1235"/>
      <c r="H5" s="1235"/>
      <c r="I5" s="1235"/>
      <c r="J5" s="1235"/>
      <c r="K5" s="1240"/>
      <c r="L5" s="238"/>
      <c r="M5" s="238"/>
      <c r="N5" s="238"/>
      <c r="O5" s="238"/>
      <c r="P5" s="238"/>
      <c r="Q5" s="238"/>
      <c r="R5" s="238"/>
      <c r="S5" s="238"/>
      <c r="T5" s="238"/>
      <c r="U5" s="238"/>
      <c r="V5" s="2013"/>
    </row>
    <row r="6" spans="1:26" s="4" customFormat="1" ht="15" x14ac:dyDescent="0.25">
      <c r="B6" s="1245" t="s">
        <v>254</v>
      </c>
      <c r="C6" s="99"/>
      <c r="D6" s="1241">
        <v>8.1067994743031058E-2</v>
      </c>
      <c r="E6" s="524">
        <v>5.9312815919124774E-2</v>
      </c>
      <c r="F6" s="524">
        <v>8.8729161633244721E-2</v>
      </c>
      <c r="G6" s="524">
        <v>0.13325936199722613</v>
      </c>
      <c r="H6" s="524">
        <v>2.4526362167719151E-2</v>
      </c>
      <c r="I6" s="524">
        <v>6.9715214067278305E-2</v>
      </c>
      <c r="J6" s="524">
        <v>6.3587985929463575E-2</v>
      </c>
      <c r="K6" s="1242">
        <v>5.7114993215741677E-2</v>
      </c>
      <c r="L6" s="1232">
        <v>0.08</v>
      </c>
      <c r="M6" s="1232">
        <v>7.0000000000000007E-2</v>
      </c>
      <c r="N6" s="1232">
        <v>0.06</v>
      </c>
      <c r="O6" s="1232">
        <v>0.06</v>
      </c>
      <c r="P6" s="1232">
        <v>0.06</v>
      </c>
      <c r="Q6" s="1232">
        <v>0.05</v>
      </c>
      <c r="R6" s="1232">
        <v>0.04</v>
      </c>
      <c r="S6" s="1232">
        <v>0.04</v>
      </c>
      <c r="T6" s="1232">
        <v>0.04</v>
      </c>
      <c r="U6" s="1232">
        <v>0.04</v>
      </c>
      <c r="V6" s="2014">
        <v>0.04</v>
      </c>
      <c r="W6" s="4" t="s">
        <v>1803</v>
      </c>
      <c r="Z6" s="4" t="s">
        <v>234</v>
      </c>
    </row>
    <row r="7" spans="1:26" s="4" customFormat="1" ht="15" x14ac:dyDescent="0.25">
      <c r="B7" s="1245" t="s">
        <v>521</v>
      </c>
      <c r="C7" s="99"/>
      <c r="D7" s="1243">
        <v>8.2000000000000003E-2</v>
      </c>
      <c r="E7" s="1236">
        <v>7.3999999999999996E-2</v>
      </c>
      <c r="F7" s="1236">
        <v>5.2999999999999999E-2</v>
      </c>
      <c r="G7" s="1236">
        <v>4.4999999999999998E-2</v>
      </c>
      <c r="H7" s="1236">
        <v>1.0999999999999999E-2</v>
      </c>
      <c r="I7" s="1236">
        <v>-4.7E-2</v>
      </c>
      <c r="J7" s="1236">
        <v>8.2000000000000003E-2</v>
      </c>
      <c r="K7" s="1244">
        <v>8.4000000000000005E-2</v>
      </c>
      <c r="L7" s="1232">
        <v>0.04</v>
      </c>
      <c r="M7" s="1232">
        <v>0.06</v>
      </c>
      <c r="N7" s="1232">
        <v>0.06</v>
      </c>
      <c r="O7" s="1232">
        <v>0.06</v>
      </c>
      <c r="P7" s="1232">
        <v>0.06</v>
      </c>
      <c r="Q7" s="1232">
        <v>0.06</v>
      </c>
      <c r="R7" s="1232">
        <v>0.05</v>
      </c>
      <c r="S7" s="1232">
        <v>0.04</v>
      </c>
      <c r="T7" s="1232">
        <v>0.04</v>
      </c>
      <c r="U7" s="1232">
        <v>0.03</v>
      </c>
      <c r="V7" s="2014">
        <v>0.03</v>
      </c>
      <c r="Z7" s="4" t="s">
        <v>235</v>
      </c>
    </row>
    <row r="8" spans="1:26" s="4" customFormat="1" ht="6" customHeight="1" x14ac:dyDescent="0.25">
      <c r="B8" s="1245"/>
      <c r="C8" s="99"/>
      <c r="D8" s="1245"/>
      <c r="E8" s="99"/>
      <c r="F8" s="99"/>
      <c r="G8" s="99"/>
      <c r="H8" s="99"/>
      <c r="I8" s="99"/>
      <c r="J8" s="99"/>
      <c r="K8" s="1246"/>
      <c r="L8" s="1233"/>
      <c r="M8" s="1233"/>
      <c r="N8" s="1233"/>
      <c r="O8" s="1233"/>
      <c r="P8" s="1233"/>
      <c r="Q8" s="1233"/>
      <c r="R8" s="1233"/>
      <c r="S8" s="1233"/>
      <c r="T8" s="1233"/>
      <c r="U8" s="1233"/>
      <c r="V8" s="2015"/>
    </row>
    <row r="9" spans="1:26" s="4" customFormat="1" ht="15" x14ac:dyDescent="0.25">
      <c r="B9" s="1245" t="s">
        <v>920</v>
      </c>
      <c r="C9" s="99"/>
      <c r="D9" s="1247">
        <v>1.5218</v>
      </c>
      <c r="E9" s="1237">
        <v>1.4873000000000001</v>
      </c>
      <c r="F9" s="1237">
        <v>1.5376000000000001</v>
      </c>
      <c r="G9" s="1237">
        <v>1.8889</v>
      </c>
      <c r="H9" s="1237">
        <v>1.7776000000000001</v>
      </c>
      <c r="I9" s="1237">
        <v>2.1303999999999998</v>
      </c>
      <c r="J9" s="1237">
        <v>2.3269000000000002</v>
      </c>
      <c r="K9" s="1248">
        <v>2.9180999999999999</v>
      </c>
      <c r="L9" s="1234">
        <f>K9*(1+(L6-L12))</f>
        <v>3.0494144999999997</v>
      </c>
      <c r="M9" s="1234">
        <f t="shared" ref="M9:U9" si="2">L9*(1+(M6-M12))</f>
        <v>3.1713910799999998</v>
      </c>
      <c r="N9" s="1234">
        <f t="shared" si="2"/>
        <v>3.2665328123999999</v>
      </c>
      <c r="O9" s="1234">
        <f t="shared" si="2"/>
        <v>3.3645287967719999</v>
      </c>
      <c r="P9" s="1234">
        <f t="shared" si="2"/>
        <v>3.4654646606751598</v>
      </c>
      <c r="Q9" s="1234">
        <f t="shared" si="2"/>
        <v>3.5347739538886631</v>
      </c>
      <c r="R9" s="1234">
        <f t="shared" si="2"/>
        <v>3.5701216934275499</v>
      </c>
      <c r="S9" s="1234">
        <f t="shared" si="2"/>
        <v>3.6058229103618253</v>
      </c>
      <c r="T9" s="1234">
        <f t="shared" si="2"/>
        <v>3.6418811394654438</v>
      </c>
      <c r="U9" s="1234">
        <f t="shared" si="2"/>
        <v>3.6782999508600982</v>
      </c>
      <c r="V9" s="2016">
        <f>U9*(1+(V6-V12))</f>
        <v>3.7150829503686991</v>
      </c>
      <c r="Z9" s="4" t="s">
        <v>236</v>
      </c>
    </row>
    <row r="10" spans="1:26" s="4" customFormat="1" ht="15" x14ac:dyDescent="0.25">
      <c r="B10" s="1245" t="s">
        <v>921</v>
      </c>
      <c r="C10" s="99"/>
      <c r="D10" s="1249">
        <v>1.2943517928286843</v>
      </c>
      <c r="E10" s="1238">
        <v>1.5474440000000012</v>
      </c>
      <c r="F10" s="1238">
        <v>1.5011331983805669</v>
      </c>
      <c r="G10" s="1238">
        <v>1.6707741035856578</v>
      </c>
      <c r="H10" s="1238">
        <v>1.7920595238095238</v>
      </c>
      <c r="I10" s="1238">
        <v>1.9019801619433192</v>
      </c>
      <c r="J10" s="1238">
        <v>2.1881132530120482</v>
      </c>
      <c r="K10" s="1250">
        <v>2.7208659999999991</v>
      </c>
      <c r="L10" s="1234">
        <f>(K9+L9)/2</f>
        <v>2.98375725</v>
      </c>
      <c r="M10" s="1234">
        <f t="shared" ref="M10:V10" si="3">(L9+M9)/2</f>
        <v>3.1104027899999998</v>
      </c>
      <c r="N10" s="1234">
        <f t="shared" si="3"/>
        <v>3.2189619461999999</v>
      </c>
      <c r="O10" s="1234">
        <f t="shared" si="3"/>
        <v>3.3155308045859999</v>
      </c>
      <c r="P10" s="1234">
        <f t="shared" si="3"/>
        <v>3.4149967287235796</v>
      </c>
      <c r="Q10" s="1234">
        <f t="shared" si="3"/>
        <v>3.5001193072819117</v>
      </c>
      <c r="R10" s="1234">
        <f t="shared" si="3"/>
        <v>3.5524478236581065</v>
      </c>
      <c r="S10" s="1234">
        <f t="shared" si="3"/>
        <v>3.5879723018946876</v>
      </c>
      <c r="T10" s="1234">
        <f t="shared" si="3"/>
        <v>3.6238520249136346</v>
      </c>
      <c r="U10" s="1234">
        <f t="shared" si="3"/>
        <v>3.6600905451627712</v>
      </c>
      <c r="V10" s="2016">
        <f t="shared" si="3"/>
        <v>3.6966914506143986</v>
      </c>
      <c r="Z10" s="4" t="s">
        <v>237</v>
      </c>
    </row>
    <row r="11" spans="1:26" s="4" customFormat="1" ht="6" customHeight="1" x14ac:dyDescent="0.25">
      <c r="B11" s="1245"/>
      <c r="C11" s="99"/>
      <c r="D11" s="1245"/>
      <c r="E11" s="99"/>
      <c r="F11" s="99"/>
      <c r="G11" s="99"/>
      <c r="H11" s="99"/>
      <c r="I11" s="99"/>
      <c r="J11" s="99"/>
      <c r="K11" s="1246"/>
      <c r="L11" s="1233"/>
      <c r="M11" s="1233"/>
      <c r="N11" s="1233"/>
      <c r="O11" s="1233"/>
      <c r="P11" s="1233"/>
      <c r="Q11" s="1233"/>
      <c r="R11" s="1233"/>
      <c r="S11" s="1233"/>
      <c r="T11" s="1233"/>
      <c r="U11" s="1233"/>
      <c r="V11" s="2015"/>
    </row>
    <row r="12" spans="1:26" s="4" customFormat="1" ht="15.75" thickBot="1" x14ac:dyDescent="0.3">
      <c r="B12" s="1251" t="s">
        <v>922</v>
      </c>
      <c r="C12" s="1230"/>
      <c r="D12" s="1251"/>
      <c r="E12" s="1230"/>
      <c r="F12" s="1230"/>
      <c r="G12" s="1230"/>
      <c r="H12" s="1230"/>
      <c r="I12" s="1230"/>
      <c r="J12" s="1230"/>
      <c r="K12" s="1252"/>
      <c r="L12" s="1231">
        <v>3.5000000000000003E-2</v>
      </c>
      <c r="M12" s="1231">
        <v>0.03</v>
      </c>
      <c r="N12" s="1231">
        <v>0.03</v>
      </c>
      <c r="O12" s="1231">
        <v>0.03</v>
      </c>
      <c r="P12" s="1231">
        <v>0.03</v>
      </c>
      <c r="Q12" s="1231">
        <v>0.03</v>
      </c>
      <c r="R12" s="1231">
        <v>0.03</v>
      </c>
      <c r="S12" s="1231">
        <v>0.03</v>
      </c>
      <c r="T12" s="1231">
        <v>0.03</v>
      </c>
      <c r="U12" s="1231">
        <v>0.03</v>
      </c>
      <c r="V12" s="2017">
        <v>0.03</v>
      </c>
      <c r="Z12" s="239" t="s">
        <v>993</v>
      </c>
    </row>
    <row r="13" spans="1:26" x14ac:dyDescent="0.25">
      <c r="B13" s="2012"/>
      <c r="C13" s="138"/>
      <c r="D13" s="138"/>
      <c r="E13" s="138"/>
      <c r="F13" s="138"/>
      <c r="G13" s="138"/>
      <c r="H13" s="138"/>
      <c r="I13" s="138"/>
      <c r="J13" s="138"/>
      <c r="K13" s="138"/>
      <c r="L13" s="138"/>
      <c r="M13" s="138"/>
      <c r="N13" s="138"/>
      <c r="O13" s="138"/>
      <c r="P13" s="138"/>
      <c r="Q13" s="138"/>
      <c r="R13" s="138"/>
      <c r="S13" s="138"/>
      <c r="T13" s="138"/>
      <c r="U13" s="138"/>
      <c r="V13" s="2018"/>
    </row>
    <row r="14" spans="1:26" ht="16.5" thickBot="1" x14ac:dyDescent="0.3">
      <c r="B14" s="2010" t="s">
        <v>522</v>
      </c>
      <c r="C14" s="1195"/>
      <c r="D14" s="1196">
        <f t="shared" ref="D14:J14" si="4">+D4</f>
        <v>2008</v>
      </c>
      <c r="E14" s="1196">
        <f t="shared" si="4"/>
        <v>2009</v>
      </c>
      <c r="F14" s="1196">
        <f t="shared" si="4"/>
        <v>2010</v>
      </c>
      <c r="G14" s="1196">
        <f t="shared" si="4"/>
        <v>2011</v>
      </c>
      <c r="H14" s="1196">
        <f t="shared" si="4"/>
        <v>2012</v>
      </c>
      <c r="I14" s="1196">
        <f t="shared" si="4"/>
        <v>2013</v>
      </c>
      <c r="J14" s="1196">
        <f t="shared" si="4"/>
        <v>2014</v>
      </c>
      <c r="K14" s="1196">
        <f>+K4</f>
        <v>2015</v>
      </c>
      <c r="L14" s="1196" t="str">
        <f>CONCATENATE(K14+1,"F")</f>
        <v>2016F</v>
      </c>
      <c r="M14" s="1196" t="str">
        <f>CONCATENATE($K$4+2,"F")</f>
        <v>2017F</v>
      </c>
      <c r="N14" s="1196" t="str">
        <f>CONCATENATE($K$4+3,"F")</f>
        <v>2018F</v>
      </c>
      <c r="O14" s="1196" t="str">
        <f>CONCATENATE($K$4+4,"F")</f>
        <v>2019F</v>
      </c>
      <c r="P14" s="1196" t="str">
        <f>CONCATENATE($K$4+5,"F")</f>
        <v>2020F</v>
      </c>
      <c r="Q14" s="1196" t="str">
        <f>CONCATENATE($K$4+6,"F")</f>
        <v>2021F</v>
      </c>
      <c r="R14" s="1196" t="str">
        <f>CONCATENATE($K$4+7,"F")</f>
        <v>2022F</v>
      </c>
      <c r="S14" s="1196" t="str">
        <f>CONCATENATE($K$4+8,"F")</f>
        <v>2023F</v>
      </c>
      <c r="T14" s="1196" t="str">
        <f>CONCATENATE($K$4+9,"F")</f>
        <v>2024F</v>
      </c>
      <c r="U14" s="1196" t="str">
        <f>CONCATENATE($K$4+10,"F")</f>
        <v>2025F</v>
      </c>
      <c r="V14" s="2011" t="str">
        <f>CONCATENATE($K$4+11,"F")</f>
        <v>2026F</v>
      </c>
      <c r="Z14" s="120" t="s">
        <v>520</v>
      </c>
    </row>
    <row r="15" spans="1:26" s="4" customFormat="1" ht="15.75" thickTop="1" x14ac:dyDescent="0.25">
      <c r="B15" s="1245" t="s">
        <v>812</v>
      </c>
      <c r="C15" s="99"/>
      <c r="D15" s="1257"/>
      <c r="E15" s="1258">
        <v>0.2</v>
      </c>
      <c r="F15" s="1258">
        <v>0.2</v>
      </c>
      <c r="G15" s="1258">
        <v>0.2</v>
      </c>
      <c r="H15" s="1258">
        <v>0.2</v>
      </c>
      <c r="I15" s="1258">
        <v>0.2</v>
      </c>
      <c r="J15" s="1258">
        <v>0.2</v>
      </c>
      <c r="K15" s="1259">
        <v>0.2</v>
      </c>
      <c r="L15" s="1253">
        <v>0.2</v>
      </c>
      <c r="M15" s="1253">
        <v>0.2</v>
      </c>
      <c r="N15" s="1253">
        <v>0.2</v>
      </c>
      <c r="O15" s="1253">
        <v>0.2</v>
      </c>
      <c r="P15" s="1253">
        <v>0.2</v>
      </c>
      <c r="Q15" s="1253">
        <v>0.2</v>
      </c>
      <c r="R15" s="1253">
        <v>0.2</v>
      </c>
      <c r="S15" s="1253">
        <v>0.2</v>
      </c>
      <c r="T15" s="1253">
        <v>0.2</v>
      </c>
      <c r="U15" s="1253">
        <v>0.2</v>
      </c>
      <c r="V15" s="2019">
        <v>0.2</v>
      </c>
      <c r="Z15" s="4" t="s">
        <v>813</v>
      </c>
    </row>
    <row r="16" spans="1:26" s="4" customFormat="1" ht="15" x14ac:dyDescent="0.25">
      <c r="B16" s="1260" t="s">
        <v>523</v>
      </c>
      <c r="C16" s="1254"/>
      <c r="D16" s="1260"/>
      <c r="E16" s="1254"/>
      <c r="F16" s="1254"/>
      <c r="G16" s="1254"/>
      <c r="H16" s="1254"/>
      <c r="I16" s="1254"/>
      <c r="J16" s="1254"/>
      <c r="K16" s="1261"/>
      <c r="L16" s="1254"/>
      <c r="M16" s="1254"/>
      <c r="N16" s="1254"/>
      <c r="O16" s="1254"/>
      <c r="P16" s="1254"/>
      <c r="Q16" s="1254"/>
      <c r="R16" s="1254"/>
      <c r="S16" s="1254"/>
      <c r="T16" s="1254"/>
      <c r="U16" s="1254"/>
      <c r="V16" s="1261"/>
      <c r="Z16" s="4" t="s">
        <v>454</v>
      </c>
    </row>
    <row r="17" spans="2:26" s="4" customFormat="1" ht="15" x14ac:dyDescent="0.25">
      <c r="B17" s="1245"/>
      <c r="C17" s="99" t="s">
        <v>1482</v>
      </c>
      <c r="D17" s="1245"/>
      <c r="E17" s="99"/>
      <c r="F17" s="99"/>
      <c r="G17" s="99"/>
      <c r="H17" s="99"/>
      <c r="I17" s="99"/>
      <c r="J17" s="99"/>
      <c r="K17" s="1246"/>
      <c r="L17" s="1255">
        <v>5.5E-2</v>
      </c>
      <c r="M17" s="1255">
        <f>+L17</f>
        <v>5.5E-2</v>
      </c>
      <c r="N17" s="1255">
        <f t="shared" ref="N17:V17" si="5">+M17</f>
        <v>5.5E-2</v>
      </c>
      <c r="O17" s="1255">
        <f t="shared" si="5"/>
        <v>5.5E-2</v>
      </c>
      <c r="P17" s="1255">
        <f t="shared" si="5"/>
        <v>5.5E-2</v>
      </c>
      <c r="Q17" s="1255">
        <f t="shared" si="5"/>
        <v>5.5E-2</v>
      </c>
      <c r="R17" s="1255">
        <f t="shared" si="5"/>
        <v>5.5E-2</v>
      </c>
      <c r="S17" s="1255">
        <f t="shared" si="5"/>
        <v>5.5E-2</v>
      </c>
      <c r="T17" s="1255">
        <f t="shared" si="5"/>
        <v>5.5E-2</v>
      </c>
      <c r="U17" s="1255">
        <f t="shared" si="5"/>
        <v>5.5E-2</v>
      </c>
      <c r="V17" s="2020">
        <f t="shared" si="5"/>
        <v>5.5E-2</v>
      </c>
    </row>
    <row r="18" spans="2:26" s="4" customFormat="1" ht="15" x14ac:dyDescent="0.25">
      <c r="B18" s="1245"/>
      <c r="C18" s="99" t="s">
        <v>923</v>
      </c>
      <c r="D18" s="1245"/>
      <c r="E18" s="99"/>
      <c r="F18" s="99"/>
      <c r="G18" s="99"/>
      <c r="H18" s="99"/>
      <c r="I18" s="99"/>
      <c r="J18" s="99"/>
      <c r="K18" s="1246"/>
      <c r="L18" s="1255">
        <v>3.5000000000000003E-2</v>
      </c>
      <c r="M18" s="1255">
        <f>+L18</f>
        <v>3.5000000000000003E-2</v>
      </c>
      <c r="N18" s="1255">
        <f t="shared" ref="N18" si="6">+M18</f>
        <v>3.5000000000000003E-2</v>
      </c>
      <c r="O18" s="1255">
        <f t="shared" ref="O18" si="7">+N18</f>
        <v>3.5000000000000003E-2</v>
      </c>
      <c r="P18" s="1255">
        <f t="shared" ref="P18" si="8">+O18</f>
        <v>3.5000000000000003E-2</v>
      </c>
      <c r="Q18" s="1255">
        <f t="shared" ref="Q18" si="9">+P18</f>
        <v>3.5000000000000003E-2</v>
      </c>
      <c r="R18" s="1255">
        <f t="shared" ref="R18" si="10">+Q18</f>
        <v>3.5000000000000003E-2</v>
      </c>
      <c r="S18" s="1255">
        <f t="shared" ref="S18" si="11">+R18</f>
        <v>3.5000000000000003E-2</v>
      </c>
      <c r="T18" s="1255">
        <f t="shared" ref="T18" si="12">+S18</f>
        <v>3.5000000000000003E-2</v>
      </c>
      <c r="U18" s="1255">
        <f t="shared" ref="U18" si="13">+T18</f>
        <v>3.5000000000000003E-2</v>
      </c>
      <c r="V18" s="2020">
        <f t="shared" ref="V18" si="14">+U18</f>
        <v>3.5000000000000003E-2</v>
      </c>
    </row>
    <row r="19" spans="2:26" s="4" customFormat="1" ht="15" x14ac:dyDescent="0.25">
      <c r="B19" s="1245"/>
      <c r="C19" s="99" t="s">
        <v>1481</v>
      </c>
      <c r="D19" s="1245"/>
      <c r="E19" s="99"/>
      <c r="F19" s="99"/>
      <c r="G19" s="99"/>
      <c r="H19" s="99"/>
      <c r="I19" s="99"/>
      <c r="J19" s="99"/>
      <c r="K19" s="1246"/>
      <c r="L19" s="1255">
        <v>0.09</v>
      </c>
      <c r="M19" s="1255">
        <f>+L19</f>
        <v>0.09</v>
      </c>
      <c r="N19" s="1255">
        <f t="shared" ref="N19:V19" si="15">+M19</f>
        <v>0.09</v>
      </c>
      <c r="O19" s="1255">
        <f t="shared" si="15"/>
        <v>0.09</v>
      </c>
      <c r="P19" s="1255">
        <f t="shared" si="15"/>
        <v>0.09</v>
      </c>
      <c r="Q19" s="1255">
        <f t="shared" si="15"/>
        <v>0.09</v>
      </c>
      <c r="R19" s="1255">
        <f t="shared" si="15"/>
        <v>0.09</v>
      </c>
      <c r="S19" s="1255">
        <f t="shared" si="15"/>
        <v>0.09</v>
      </c>
      <c r="T19" s="1255">
        <f t="shared" si="15"/>
        <v>0.09</v>
      </c>
      <c r="U19" s="1255">
        <f t="shared" si="15"/>
        <v>0.09</v>
      </c>
      <c r="V19" s="2020">
        <f t="shared" si="15"/>
        <v>0.09</v>
      </c>
    </row>
    <row r="20" spans="2:26" s="4" customFormat="1" ht="15" x14ac:dyDescent="0.25">
      <c r="B20" s="1245"/>
      <c r="C20" s="99" t="s">
        <v>924</v>
      </c>
      <c r="D20" s="1245"/>
      <c r="E20" s="99"/>
      <c r="F20" s="99"/>
      <c r="G20" s="99"/>
      <c r="H20" s="99"/>
      <c r="I20" s="99"/>
      <c r="J20" s="99"/>
      <c r="K20" s="1246"/>
      <c r="L20" s="1255">
        <v>0.1</v>
      </c>
      <c r="M20" s="1255">
        <f>+L20</f>
        <v>0.1</v>
      </c>
      <c r="N20" s="1255">
        <f t="shared" ref="N20" si="16">+M20</f>
        <v>0.1</v>
      </c>
      <c r="O20" s="1255">
        <f t="shared" ref="O20" si="17">+N20</f>
        <v>0.1</v>
      </c>
      <c r="P20" s="1255">
        <f t="shared" ref="P20" si="18">+O20</f>
        <v>0.1</v>
      </c>
      <c r="Q20" s="1255">
        <f t="shared" ref="Q20" si="19">+P20</f>
        <v>0.1</v>
      </c>
      <c r="R20" s="1255">
        <f t="shared" ref="R20" si="20">+Q20</f>
        <v>0.1</v>
      </c>
      <c r="S20" s="1255">
        <f t="shared" ref="S20" si="21">+R20</f>
        <v>0.1</v>
      </c>
      <c r="T20" s="1255">
        <f t="shared" ref="T20" si="22">+S20</f>
        <v>0.1</v>
      </c>
      <c r="U20" s="1255">
        <f t="shared" ref="U20" si="23">+T20</f>
        <v>0.1</v>
      </c>
      <c r="V20" s="2020">
        <f t="shared" ref="V20" si="24">+U20</f>
        <v>0.1</v>
      </c>
    </row>
    <row r="21" spans="2:26" s="4" customFormat="1" ht="15" x14ac:dyDescent="0.25">
      <c r="B21" s="1986" t="s">
        <v>1207</v>
      </c>
      <c r="C21" s="1987"/>
      <c r="D21" s="1986"/>
      <c r="E21" s="1987"/>
      <c r="F21" s="1987"/>
      <c r="G21" s="1987"/>
      <c r="H21" s="1987"/>
      <c r="I21" s="1987"/>
      <c r="J21" s="1987"/>
      <c r="K21" s="1988"/>
      <c r="L21" s="1989">
        <v>0.1</v>
      </c>
      <c r="M21" s="1989">
        <f>+L21</f>
        <v>0.1</v>
      </c>
      <c r="N21" s="1989">
        <f t="shared" ref="N21" si="25">+M21</f>
        <v>0.1</v>
      </c>
      <c r="O21" s="1989">
        <f t="shared" ref="O21" si="26">+N21</f>
        <v>0.1</v>
      </c>
      <c r="P21" s="1989">
        <f t="shared" ref="P21" si="27">+O21</f>
        <v>0.1</v>
      </c>
      <c r="Q21" s="1989">
        <f t="shared" ref="Q21" si="28">+P21</f>
        <v>0.1</v>
      </c>
      <c r="R21" s="1989">
        <f t="shared" ref="R21" si="29">+Q21</f>
        <v>0.1</v>
      </c>
      <c r="S21" s="1989">
        <f t="shared" ref="S21" si="30">+R21</f>
        <v>0.1</v>
      </c>
      <c r="T21" s="1989">
        <f t="shared" ref="T21" si="31">+S21</f>
        <v>0.1</v>
      </c>
      <c r="U21" s="1989">
        <f t="shared" ref="U21" si="32">+T21</f>
        <v>0.1</v>
      </c>
      <c r="V21" s="2021">
        <f t="shared" ref="V21" si="33">+U21</f>
        <v>0.1</v>
      </c>
    </row>
    <row r="22" spans="2:26" s="4" customFormat="1" ht="15" x14ac:dyDescent="0.25">
      <c r="B22" s="1260" t="s">
        <v>524</v>
      </c>
      <c r="C22" s="1254"/>
      <c r="D22" s="1260"/>
      <c r="E22" s="1254"/>
      <c r="F22" s="1254"/>
      <c r="G22" s="1254"/>
      <c r="H22" s="1254"/>
      <c r="I22" s="1254"/>
      <c r="J22" s="1254"/>
      <c r="K22" s="1261"/>
      <c r="L22" s="1256"/>
      <c r="M22" s="1256"/>
      <c r="N22" s="1256"/>
      <c r="O22" s="1256"/>
      <c r="P22" s="1256"/>
      <c r="Q22" s="1256"/>
      <c r="R22" s="1256"/>
      <c r="S22" s="1256"/>
      <c r="T22" s="1256"/>
      <c r="U22" s="1256"/>
      <c r="V22" s="2022"/>
      <c r="Z22" s="4" t="s">
        <v>466</v>
      </c>
    </row>
    <row r="23" spans="2:26" s="4" customFormat="1" ht="15" x14ac:dyDescent="0.25">
      <c r="B23" s="1245"/>
      <c r="C23" s="99" t="s">
        <v>926</v>
      </c>
      <c r="D23" s="1245"/>
      <c r="E23" s="99"/>
      <c r="F23" s="99"/>
      <c r="G23" s="99"/>
      <c r="H23" s="99"/>
      <c r="I23" s="99"/>
      <c r="J23" s="99"/>
      <c r="K23" s="1246"/>
      <c r="L23" s="1255">
        <v>5.5E-2</v>
      </c>
      <c r="M23" s="1255">
        <v>5.5E-2</v>
      </c>
      <c r="N23" s="1255">
        <v>5.5E-2</v>
      </c>
      <c r="O23" s="1255">
        <v>5.5E-2</v>
      </c>
      <c r="P23" s="1255">
        <v>5.5E-2</v>
      </c>
      <c r="Q23" s="1255">
        <v>5.5E-2</v>
      </c>
      <c r="R23" s="1255">
        <v>5.5E-2</v>
      </c>
      <c r="S23" s="1255">
        <v>5.5E-2</v>
      </c>
      <c r="T23" s="1255">
        <v>5.5E-2</v>
      </c>
      <c r="U23" s="1255">
        <v>5.5E-2</v>
      </c>
      <c r="V23" s="2020">
        <v>5.5E-2</v>
      </c>
      <c r="Z23" s="99" t="s">
        <v>467</v>
      </c>
    </row>
    <row r="24" spans="2:26" s="4" customFormat="1" ht="15.75" thickBot="1" x14ac:dyDescent="0.3">
      <c r="B24" s="1991"/>
      <c r="C24" s="1990" t="s">
        <v>927</v>
      </c>
      <c r="D24" s="1991"/>
      <c r="E24" s="1990"/>
      <c r="F24" s="1990"/>
      <c r="G24" s="1990"/>
      <c r="H24" s="1990"/>
      <c r="I24" s="1990"/>
      <c r="J24" s="1990"/>
      <c r="K24" s="1992"/>
      <c r="L24" s="1993">
        <v>5.5E-2</v>
      </c>
      <c r="M24" s="1993">
        <v>5.5E-2</v>
      </c>
      <c r="N24" s="1993">
        <v>5.5E-2</v>
      </c>
      <c r="O24" s="1993">
        <v>5.5E-2</v>
      </c>
      <c r="P24" s="1993">
        <v>5.5E-2</v>
      </c>
      <c r="Q24" s="1993">
        <v>5.5E-2</v>
      </c>
      <c r="R24" s="1993">
        <v>5.5E-2</v>
      </c>
      <c r="S24" s="1993">
        <v>5.5E-2</v>
      </c>
      <c r="T24" s="1993">
        <v>5.5E-2</v>
      </c>
      <c r="U24" s="1993">
        <v>5.5E-2</v>
      </c>
      <c r="V24" s="2023">
        <v>5.5E-2</v>
      </c>
      <c r="Z24" s="99"/>
    </row>
  </sheetData>
  <mergeCells count="2">
    <mergeCell ref="D3:K3"/>
    <mergeCell ref="L3:V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111"/>
  <sheetViews>
    <sheetView topLeftCell="A70" zoomScale="74" zoomScaleNormal="74" workbookViewId="0">
      <selection activeCell="C94" sqref="C94"/>
    </sheetView>
  </sheetViews>
  <sheetFormatPr defaultColWidth="6.28515625" defaultRowHeight="19.5" customHeight="1" outlineLevelRow="1" x14ac:dyDescent="0.25"/>
  <cols>
    <col min="1" max="1" width="5.140625" style="4" customWidth="1"/>
    <col min="2" max="2" width="5" style="4" bestFit="1" customWidth="1"/>
    <col min="3" max="3" width="116.85546875" style="4" bestFit="1" customWidth="1"/>
    <col min="4" max="5" width="8" style="4" customWidth="1"/>
    <col min="6" max="7" width="6.28515625" style="4"/>
    <col min="8" max="10" width="17.5703125" style="4" customWidth="1"/>
    <col min="11" max="16384" width="6.28515625" style="4"/>
  </cols>
  <sheetData>
    <row r="2" spans="2:13" s="2006" customFormat="1" ht="31.5" customHeight="1" x14ac:dyDescent="0.55000000000000004">
      <c r="B2" s="2005" t="s">
        <v>1484</v>
      </c>
      <c r="C2" s="2005"/>
      <c r="D2" s="2005"/>
      <c r="E2" s="2005"/>
      <c r="F2" s="2005"/>
      <c r="G2" s="2005"/>
      <c r="H2" s="2005"/>
      <c r="I2" s="2005"/>
      <c r="J2" s="2005"/>
      <c r="K2" s="2005"/>
      <c r="L2" s="2005"/>
      <c r="M2" s="2039" t="s">
        <v>1578</v>
      </c>
    </row>
    <row r="3" spans="2:13" s="319" customFormat="1" ht="7.5" customHeight="1" x14ac:dyDescent="0.3"/>
    <row r="4" spans="2:13" s="1791" customFormat="1" ht="19.5" customHeight="1" x14ac:dyDescent="0.3">
      <c r="B4" s="2000" t="s">
        <v>1504</v>
      </c>
      <c r="C4" s="1867" t="s">
        <v>1485</v>
      </c>
      <c r="D4" s="1867"/>
      <c r="E4" s="1867"/>
      <c r="F4" s="1867"/>
      <c r="G4" s="1867"/>
      <c r="H4" s="1867"/>
      <c r="I4" s="1867"/>
      <c r="J4" s="1867"/>
      <c r="K4" s="1867"/>
    </row>
    <row r="5" spans="2:13" s="319" customFormat="1" ht="18" customHeight="1" outlineLevel="1" x14ac:dyDescent="0.3">
      <c r="B5" s="1717" t="s">
        <v>1493</v>
      </c>
      <c r="C5" s="319" t="s">
        <v>1492</v>
      </c>
      <c r="H5" s="2001" t="s">
        <v>1555</v>
      </c>
      <c r="I5" s="2003" t="s">
        <v>1556</v>
      </c>
      <c r="J5" s="2002" t="s">
        <v>1557</v>
      </c>
    </row>
    <row r="6" spans="2:13" s="319" customFormat="1" ht="18" customHeight="1" outlineLevel="1" x14ac:dyDescent="0.3">
      <c r="B6" s="1717" t="s">
        <v>1494</v>
      </c>
      <c r="C6" s="1999" t="s">
        <v>1486</v>
      </c>
      <c r="D6" s="1999"/>
      <c r="E6" s="1999"/>
      <c r="H6" s="2001" t="s">
        <v>1555</v>
      </c>
      <c r="I6" s="2003" t="s">
        <v>1556</v>
      </c>
      <c r="J6" s="2002" t="s">
        <v>1557</v>
      </c>
    </row>
    <row r="7" spans="2:13" s="319" customFormat="1" ht="18" customHeight="1" outlineLevel="1" x14ac:dyDescent="0.3">
      <c r="B7" s="1717" t="s">
        <v>1495</v>
      </c>
      <c r="C7" s="1999" t="s">
        <v>1487</v>
      </c>
      <c r="D7" s="1999"/>
      <c r="E7" s="1999"/>
      <c r="H7" s="2001" t="s">
        <v>1555</v>
      </c>
      <c r="I7" s="2003" t="s">
        <v>1556</v>
      </c>
      <c r="J7" s="2002" t="s">
        <v>1557</v>
      </c>
    </row>
    <row r="8" spans="2:13" s="319" customFormat="1" ht="18" customHeight="1" outlineLevel="1" x14ac:dyDescent="0.3">
      <c r="B8" s="1717" t="s">
        <v>1496</v>
      </c>
      <c r="C8" s="1999" t="s">
        <v>1488</v>
      </c>
      <c r="D8" s="1999"/>
      <c r="E8" s="1999"/>
      <c r="H8" s="2001" t="s">
        <v>1555</v>
      </c>
      <c r="I8" s="2003" t="s">
        <v>1556</v>
      </c>
      <c r="J8" s="2002" t="s">
        <v>1557</v>
      </c>
    </row>
    <row r="9" spans="2:13" s="319" customFormat="1" ht="18" customHeight="1" outlineLevel="1" x14ac:dyDescent="0.3">
      <c r="B9" s="1717" t="s">
        <v>782</v>
      </c>
      <c r="C9" s="1999" t="s">
        <v>1489</v>
      </c>
      <c r="D9" s="1999"/>
      <c r="E9" s="1999"/>
      <c r="H9" s="2001" t="s">
        <v>1555</v>
      </c>
      <c r="I9" s="2003" t="s">
        <v>1556</v>
      </c>
      <c r="J9" s="2002" t="s">
        <v>1557</v>
      </c>
    </row>
    <row r="10" spans="2:13" s="319" customFormat="1" ht="18" customHeight="1" outlineLevel="1" x14ac:dyDescent="0.3">
      <c r="B10" s="1717" t="s">
        <v>795</v>
      </c>
      <c r="C10" s="1999" t="s">
        <v>1490</v>
      </c>
      <c r="D10" s="1999"/>
      <c r="E10" s="1999"/>
      <c r="H10" s="2001" t="s">
        <v>1555</v>
      </c>
      <c r="I10" s="2003" t="s">
        <v>1556</v>
      </c>
      <c r="J10" s="2002" t="s">
        <v>1557</v>
      </c>
    </row>
    <row r="11" spans="2:13" s="319" customFormat="1" ht="18" customHeight="1" outlineLevel="1" x14ac:dyDescent="0.3">
      <c r="B11" s="1717" t="s">
        <v>796</v>
      </c>
      <c r="C11" s="1999" t="s">
        <v>1497</v>
      </c>
      <c r="D11" s="1999"/>
      <c r="E11" s="1999"/>
      <c r="H11" s="2001" t="s">
        <v>1555</v>
      </c>
      <c r="I11" s="2003" t="s">
        <v>1556</v>
      </c>
      <c r="J11" s="2002" t="s">
        <v>1557</v>
      </c>
    </row>
    <row r="12" spans="2:13" s="319" customFormat="1" ht="18" customHeight="1" outlineLevel="1" x14ac:dyDescent="0.3">
      <c r="B12" s="1717" t="s">
        <v>797</v>
      </c>
      <c r="C12" s="1999" t="s">
        <v>1491</v>
      </c>
      <c r="D12" s="1999"/>
      <c r="E12" s="1999"/>
      <c r="H12" s="2001" t="s">
        <v>1555</v>
      </c>
      <c r="I12" s="2003" t="s">
        <v>1556</v>
      </c>
      <c r="J12" s="2002" t="s">
        <v>1557</v>
      </c>
    </row>
    <row r="13" spans="2:13" s="1791" customFormat="1" ht="19.5" customHeight="1" x14ac:dyDescent="0.3">
      <c r="B13" s="2000" t="s">
        <v>1505</v>
      </c>
      <c r="C13" s="1867" t="s">
        <v>1537</v>
      </c>
      <c r="D13" s="1867"/>
      <c r="E13" s="1867"/>
      <c r="F13" s="1867"/>
      <c r="G13" s="1867"/>
      <c r="H13" s="1867"/>
      <c r="I13" s="1867"/>
      <c r="J13" s="1867"/>
      <c r="K13" s="1867"/>
    </row>
    <row r="14" spans="2:13" s="319" customFormat="1" ht="18" customHeight="1" outlineLevel="1" x14ac:dyDescent="0.3">
      <c r="B14" s="1717" t="s">
        <v>1493</v>
      </c>
      <c r="C14" s="1999" t="s">
        <v>1538</v>
      </c>
      <c r="D14" s="1999"/>
      <c r="E14" s="1999"/>
      <c r="H14" s="2001" t="s">
        <v>1555</v>
      </c>
      <c r="I14" s="2003" t="s">
        <v>1556</v>
      </c>
      <c r="J14" s="2002" t="s">
        <v>1557</v>
      </c>
    </row>
    <row r="15" spans="2:13" s="319" customFormat="1" ht="18" customHeight="1" outlineLevel="1" x14ac:dyDescent="0.3">
      <c r="B15" s="1717" t="s">
        <v>1494</v>
      </c>
      <c r="C15" s="1999" t="s">
        <v>1539</v>
      </c>
      <c r="D15" s="1999"/>
      <c r="E15" s="1999"/>
      <c r="H15" s="2001" t="s">
        <v>1555</v>
      </c>
      <c r="I15" s="2003" t="s">
        <v>1556</v>
      </c>
      <c r="J15" s="2002" t="s">
        <v>1557</v>
      </c>
    </row>
    <row r="16" spans="2:13" s="319" customFormat="1" ht="18" customHeight="1" outlineLevel="1" x14ac:dyDescent="0.3">
      <c r="B16" s="1717" t="s">
        <v>1495</v>
      </c>
      <c r="C16" s="1999" t="s">
        <v>1545</v>
      </c>
      <c r="D16" s="1999"/>
      <c r="E16" s="1999"/>
      <c r="H16" s="2001" t="s">
        <v>1555</v>
      </c>
      <c r="I16" s="2003" t="s">
        <v>1556</v>
      </c>
      <c r="J16" s="2002" t="s">
        <v>1557</v>
      </c>
    </row>
    <row r="17" spans="2:11" s="319" customFormat="1" ht="18" customHeight="1" outlineLevel="1" x14ac:dyDescent="0.3">
      <c r="B17" s="1717" t="s">
        <v>1496</v>
      </c>
      <c r="C17" s="1999" t="s">
        <v>1540</v>
      </c>
      <c r="D17" s="1999"/>
      <c r="E17" s="1999"/>
      <c r="H17" s="2001" t="s">
        <v>1555</v>
      </c>
      <c r="I17" s="2003" t="s">
        <v>1556</v>
      </c>
      <c r="J17" s="2002" t="s">
        <v>1557</v>
      </c>
    </row>
    <row r="18" spans="2:11" s="319" customFormat="1" ht="18" customHeight="1" outlineLevel="1" x14ac:dyDescent="0.3">
      <c r="B18" s="1717" t="s">
        <v>782</v>
      </c>
      <c r="C18" s="1999" t="s">
        <v>1541</v>
      </c>
      <c r="D18" s="1999"/>
      <c r="E18" s="1999"/>
      <c r="H18" s="2001" t="s">
        <v>1555</v>
      </c>
      <c r="I18" s="2003" t="s">
        <v>1556</v>
      </c>
      <c r="J18" s="2002" t="s">
        <v>1557</v>
      </c>
    </row>
    <row r="19" spans="2:11" s="319" customFormat="1" ht="18" customHeight="1" outlineLevel="1" x14ac:dyDescent="0.3">
      <c r="B19" s="1717" t="s">
        <v>795</v>
      </c>
      <c r="C19" s="1999" t="s">
        <v>1542</v>
      </c>
      <c r="D19" s="1999"/>
      <c r="E19" s="1999"/>
      <c r="H19" s="2001" t="s">
        <v>1555</v>
      </c>
      <c r="I19" s="2003" t="s">
        <v>1556</v>
      </c>
      <c r="J19" s="2002" t="s">
        <v>1557</v>
      </c>
    </row>
    <row r="20" spans="2:11" s="319" customFormat="1" ht="18" customHeight="1" outlineLevel="1" x14ac:dyDescent="0.3">
      <c r="B20" s="1717" t="s">
        <v>796</v>
      </c>
      <c r="C20" s="1999" t="s">
        <v>1543</v>
      </c>
      <c r="D20" s="1999"/>
      <c r="E20" s="1999"/>
      <c r="H20" s="2001" t="s">
        <v>1555</v>
      </c>
      <c r="I20" s="2003" t="s">
        <v>1556</v>
      </c>
      <c r="J20" s="2002" t="s">
        <v>1557</v>
      </c>
    </row>
    <row r="21" spans="2:11" s="319" customFormat="1" ht="18" customHeight="1" outlineLevel="1" x14ac:dyDescent="0.3">
      <c r="B21" s="1717" t="s">
        <v>797</v>
      </c>
      <c r="C21" s="1999" t="s">
        <v>1544</v>
      </c>
      <c r="D21" s="1999"/>
      <c r="E21" s="1999"/>
      <c r="H21" s="2001" t="s">
        <v>1555</v>
      </c>
      <c r="I21" s="2003" t="s">
        <v>1556</v>
      </c>
      <c r="J21" s="2002" t="s">
        <v>1557</v>
      </c>
    </row>
    <row r="22" spans="2:11" s="319" customFormat="1" ht="18" customHeight="1" outlineLevel="1" x14ac:dyDescent="0.3">
      <c r="B22" s="1717" t="s">
        <v>798</v>
      </c>
      <c r="C22" s="1999" t="s">
        <v>1546</v>
      </c>
      <c r="D22" s="1999"/>
      <c r="E22" s="1999"/>
      <c r="H22" s="2001" t="s">
        <v>1555</v>
      </c>
      <c r="I22" s="2003" t="s">
        <v>1556</v>
      </c>
      <c r="J22" s="2002" t="s">
        <v>1557</v>
      </c>
    </row>
    <row r="23" spans="2:11" s="319" customFormat="1" ht="18" customHeight="1" outlineLevel="1" x14ac:dyDescent="0.3">
      <c r="B23" s="1717" t="s">
        <v>799</v>
      </c>
      <c r="C23" s="1999" t="s">
        <v>1547</v>
      </c>
      <c r="D23" s="1999"/>
      <c r="E23" s="1999"/>
      <c r="H23" s="2001" t="s">
        <v>1555</v>
      </c>
      <c r="I23" s="2003" t="s">
        <v>1556</v>
      </c>
      <c r="J23" s="2002" t="s">
        <v>1557</v>
      </c>
    </row>
    <row r="24" spans="2:11" s="319" customFormat="1" ht="18" customHeight="1" outlineLevel="1" x14ac:dyDescent="0.3">
      <c r="B24" s="1717" t="s">
        <v>800</v>
      </c>
      <c r="C24" s="1999" t="s">
        <v>1548</v>
      </c>
      <c r="D24" s="1999"/>
      <c r="E24" s="1999"/>
      <c r="H24" s="2001" t="s">
        <v>1555</v>
      </c>
      <c r="I24" s="2003" t="s">
        <v>1556</v>
      </c>
      <c r="J24" s="2002" t="s">
        <v>1557</v>
      </c>
    </row>
    <row r="25" spans="2:11" s="319" customFormat="1" ht="18" customHeight="1" outlineLevel="1" x14ac:dyDescent="0.3">
      <c r="B25" s="1717" t="s">
        <v>801</v>
      </c>
      <c r="C25" s="1999" t="s">
        <v>1549</v>
      </c>
      <c r="D25" s="1999"/>
      <c r="E25" s="1999"/>
      <c r="H25" s="2001" t="s">
        <v>1555</v>
      </c>
      <c r="I25" s="2003" t="s">
        <v>1556</v>
      </c>
      <c r="J25" s="2002" t="s">
        <v>1557</v>
      </c>
    </row>
    <row r="26" spans="2:11" s="319" customFormat="1" ht="18" customHeight="1" outlineLevel="1" x14ac:dyDescent="0.3">
      <c r="B26" s="1717" t="s">
        <v>802</v>
      </c>
      <c r="C26" s="1999" t="s">
        <v>1550</v>
      </c>
      <c r="D26" s="1999"/>
      <c r="E26" s="1999"/>
      <c r="H26" s="2001" t="s">
        <v>1555</v>
      </c>
      <c r="I26" s="2003" t="s">
        <v>1556</v>
      </c>
      <c r="J26" s="2002" t="s">
        <v>1557</v>
      </c>
    </row>
    <row r="27" spans="2:11" s="319" customFormat="1" ht="18.75" customHeight="1" x14ac:dyDescent="0.3">
      <c r="B27" s="2000" t="s">
        <v>1505</v>
      </c>
      <c r="C27" s="1867" t="s">
        <v>1498</v>
      </c>
      <c r="D27" s="1867"/>
      <c r="E27" s="1867"/>
      <c r="F27" s="1867"/>
      <c r="G27" s="1867"/>
      <c r="H27" s="1867"/>
      <c r="I27" s="1867"/>
      <c r="J27" s="1867"/>
      <c r="K27" s="1867"/>
    </row>
    <row r="28" spans="2:11" s="319" customFormat="1" ht="18" customHeight="1" outlineLevel="1" x14ac:dyDescent="0.3">
      <c r="B28" s="1717" t="s">
        <v>1493</v>
      </c>
      <c r="C28" s="319" t="s">
        <v>1499</v>
      </c>
      <c r="H28" s="2001" t="s">
        <v>1555</v>
      </c>
      <c r="I28" s="2003" t="s">
        <v>1556</v>
      </c>
      <c r="J28" s="2002" t="s">
        <v>1557</v>
      </c>
    </row>
    <row r="29" spans="2:11" s="319" customFormat="1" ht="18" customHeight="1" outlineLevel="1" x14ac:dyDescent="0.3">
      <c r="B29" s="1717" t="s">
        <v>1494</v>
      </c>
      <c r="C29" s="319" t="s">
        <v>1500</v>
      </c>
      <c r="H29" s="2001" t="s">
        <v>1555</v>
      </c>
      <c r="I29" s="2003" t="s">
        <v>1556</v>
      </c>
      <c r="J29" s="2002" t="s">
        <v>1557</v>
      </c>
    </row>
    <row r="30" spans="2:11" s="319" customFormat="1" ht="18" customHeight="1" outlineLevel="1" x14ac:dyDescent="0.3">
      <c r="B30" s="1717" t="s">
        <v>1495</v>
      </c>
      <c r="C30" s="319" t="s">
        <v>1501</v>
      </c>
      <c r="H30" s="2001" t="s">
        <v>1555</v>
      </c>
      <c r="I30" s="2003" t="s">
        <v>1556</v>
      </c>
      <c r="J30" s="2002" t="s">
        <v>1557</v>
      </c>
    </row>
    <row r="31" spans="2:11" s="319" customFormat="1" ht="18" customHeight="1" outlineLevel="1" x14ac:dyDescent="0.3">
      <c r="B31" s="1717" t="s">
        <v>1496</v>
      </c>
      <c r="C31" s="319" t="s">
        <v>1502</v>
      </c>
      <c r="H31" s="2001" t="s">
        <v>1555</v>
      </c>
      <c r="I31" s="2003" t="s">
        <v>1556</v>
      </c>
      <c r="J31" s="2002" t="s">
        <v>1557</v>
      </c>
    </row>
    <row r="32" spans="2:11" s="319" customFormat="1" ht="18" customHeight="1" outlineLevel="1" x14ac:dyDescent="0.3">
      <c r="B32" s="1717" t="s">
        <v>782</v>
      </c>
      <c r="C32" s="319" t="s">
        <v>1503</v>
      </c>
      <c r="H32" s="2001" t="s">
        <v>1555</v>
      </c>
      <c r="I32" s="2003" t="s">
        <v>1556</v>
      </c>
      <c r="J32" s="2002" t="s">
        <v>1557</v>
      </c>
    </row>
    <row r="33" spans="2:11" s="319" customFormat="1" ht="18" customHeight="1" outlineLevel="1" x14ac:dyDescent="0.3">
      <c r="B33" s="1717" t="s">
        <v>795</v>
      </c>
      <c r="C33" s="319" t="s">
        <v>1509</v>
      </c>
      <c r="H33" s="2001" t="s">
        <v>1555</v>
      </c>
      <c r="I33" s="2003" t="s">
        <v>1556</v>
      </c>
      <c r="J33" s="2002" t="s">
        <v>1557</v>
      </c>
    </row>
    <row r="34" spans="2:11" s="319" customFormat="1" ht="18.75" customHeight="1" x14ac:dyDescent="0.3">
      <c r="B34" s="2000" t="s">
        <v>1506</v>
      </c>
      <c r="C34" s="1867" t="s">
        <v>1518</v>
      </c>
      <c r="D34" s="1867"/>
      <c r="E34" s="1867"/>
      <c r="F34" s="1867"/>
      <c r="G34" s="1867"/>
      <c r="H34" s="1867"/>
      <c r="I34" s="1867"/>
      <c r="J34" s="1867"/>
      <c r="K34" s="1867"/>
    </row>
    <row r="35" spans="2:11" s="319" customFormat="1" ht="18" customHeight="1" outlineLevel="1" x14ac:dyDescent="0.3">
      <c r="B35" s="1717" t="s">
        <v>1493</v>
      </c>
      <c r="C35" s="319" t="s">
        <v>1519</v>
      </c>
    </row>
    <row r="36" spans="2:11" s="319" customFormat="1" ht="18" customHeight="1" outlineLevel="1" x14ac:dyDescent="0.3">
      <c r="B36" s="1717"/>
      <c r="C36" s="319" t="s">
        <v>1520</v>
      </c>
      <c r="H36" s="2001" t="s">
        <v>1555</v>
      </c>
      <c r="I36" s="2003" t="s">
        <v>1556</v>
      </c>
      <c r="J36" s="2002" t="s">
        <v>1557</v>
      </c>
    </row>
    <row r="37" spans="2:11" s="319" customFormat="1" ht="18" customHeight="1" outlineLevel="1" x14ac:dyDescent="0.3">
      <c r="B37" s="1717"/>
      <c r="C37" s="319" t="s">
        <v>1521</v>
      </c>
      <c r="H37" s="2001" t="s">
        <v>1555</v>
      </c>
      <c r="I37" s="2003" t="s">
        <v>1556</v>
      </c>
      <c r="J37" s="2002" t="s">
        <v>1557</v>
      </c>
    </row>
    <row r="38" spans="2:11" s="319" customFormat="1" ht="18" customHeight="1" outlineLevel="1" x14ac:dyDescent="0.3">
      <c r="B38" s="1717"/>
      <c r="C38" s="319" t="s">
        <v>1522</v>
      </c>
      <c r="H38" s="2001" t="s">
        <v>1555</v>
      </c>
      <c r="I38" s="2003" t="s">
        <v>1556</v>
      </c>
      <c r="J38" s="2002" t="s">
        <v>1557</v>
      </c>
    </row>
    <row r="39" spans="2:11" s="319" customFormat="1" ht="18" customHeight="1" outlineLevel="1" x14ac:dyDescent="0.3">
      <c r="B39" s="1717"/>
      <c r="C39" s="319" t="s">
        <v>1523</v>
      </c>
      <c r="H39" s="2001" t="s">
        <v>1555</v>
      </c>
      <c r="I39" s="2003" t="s">
        <v>1556</v>
      </c>
      <c r="J39" s="2002" t="s">
        <v>1557</v>
      </c>
    </row>
    <row r="40" spans="2:11" s="319" customFormat="1" ht="18" customHeight="1" outlineLevel="1" x14ac:dyDescent="0.3">
      <c r="B40" s="1717"/>
      <c r="C40" s="319" t="s">
        <v>1524</v>
      </c>
      <c r="H40" s="2001" t="s">
        <v>1555</v>
      </c>
      <c r="I40" s="2003" t="s">
        <v>1556</v>
      </c>
      <c r="J40" s="2002" t="s">
        <v>1557</v>
      </c>
    </row>
    <row r="41" spans="2:11" s="319" customFormat="1" ht="18" customHeight="1" outlineLevel="1" x14ac:dyDescent="0.3">
      <c r="B41" s="1717"/>
      <c r="C41" s="319" t="s">
        <v>1525</v>
      </c>
      <c r="H41" s="2001" t="s">
        <v>1555</v>
      </c>
      <c r="I41" s="2003" t="s">
        <v>1556</v>
      </c>
      <c r="J41" s="2002" t="s">
        <v>1557</v>
      </c>
    </row>
    <row r="42" spans="2:11" s="319" customFormat="1" ht="18" customHeight="1" outlineLevel="1" x14ac:dyDescent="0.3">
      <c r="B42" s="1717"/>
      <c r="C42" s="319" t="s">
        <v>1526</v>
      </c>
      <c r="H42" s="2001" t="s">
        <v>1555</v>
      </c>
      <c r="I42" s="2003" t="s">
        <v>1556</v>
      </c>
      <c r="J42" s="2002" t="s">
        <v>1557</v>
      </c>
    </row>
    <row r="43" spans="2:11" s="319" customFormat="1" ht="18" customHeight="1" outlineLevel="1" x14ac:dyDescent="0.3">
      <c r="B43" s="1717"/>
      <c r="C43" s="319" t="s">
        <v>1527</v>
      </c>
      <c r="H43" s="2001" t="s">
        <v>1555</v>
      </c>
      <c r="I43" s="2003" t="s">
        <v>1556</v>
      </c>
      <c r="J43" s="2002" t="s">
        <v>1557</v>
      </c>
    </row>
    <row r="44" spans="2:11" s="319" customFormat="1" ht="18" customHeight="1" outlineLevel="1" x14ac:dyDescent="0.3">
      <c r="B44" s="1717"/>
      <c r="C44" s="319" t="s">
        <v>1527</v>
      </c>
      <c r="H44" s="2001" t="s">
        <v>1555</v>
      </c>
      <c r="I44" s="2003" t="s">
        <v>1556</v>
      </c>
      <c r="J44" s="2002" t="s">
        <v>1557</v>
      </c>
    </row>
    <row r="45" spans="2:11" s="319" customFormat="1" ht="18" customHeight="1" outlineLevel="1" x14ac:dyDescent="0.3">
      <c r="B45" s="1717"/>
      <c r="C45" s="319" t="s">
        <v>1527</v>
      </c>
      <c r="H45" s="2001" t="s">
        <v>1555</v>
      </c>
      <c r="I45" s="2003" t="s">
        <v>1556</v>
      </c>
      <c r="J45" s="2002" t="s">
        <v>1557</v>
      </c>
    </row>
    <row r="46" spans="2:11" s="319" customFormat="1" ht="18" customHeight="1" outlineLevel="1" x14ac:dyDescent="0.3">
      <c r="B46" s="1717"/>
      <c r="C46" s="319" t="s">
        <v>1527</v>
      </c>
      <c r="H46" s="2001" t="s">
        <v>1555</v>
      </c>
      <c r="I46" s="2003" t="s">
        <v>1556</v>
      </c>
      <c r="J46" s="2002" t="s">
        <v>1557</v>
      </c>
    </row>
    <row r="47" spans="2:11" s="319" customFormat="1" ht="18" customHeight="1" outlineLevel="1" x14ac:dyDescent="0.3">
      <c r="B47" s="1717"/>
      <c r="C47" s="319" t="s">
        <v>1527</v>
      </c>
      <c r="H47" s="2001" t="s">
        <v>1555</v>
      </c>
      <c r="I47" s="2003" t="s">
        <v>1556</v>
      </c>
      <c r="J47" s="2002" t="s">
        <v>1557</v>
      </c>
    </row>
    <row r="48" spans="2:11" s="319" customFormat="1" ht="18" customHeight="1" x14ac:dyDescent="0.3">
      <c r="B48" s="2000" t="s">
        <v>1517</v>
      </c>
      <c r="C48" s="1867" t="s">
        <v>1515</v>
      </c>
      <c r="D48" s="1867"/>
      <c r="E48" s="1867"/>
      <c r="F48" s="1867"/>
      <c r="G48" s="1867"/>
      <c r="H48" s="1867"/>
      <c r="I48" s="1867"/>
      <c r="J48" s="1867"/>
      <c r="K48" s="1867"/>
    </row>
    <row r="49" spans="2:11" s="319" customFormat="1" ht="18" customHeight="1" outlineLevel="1" x14ac:dyDescent="0.3">
      <c r="B49" s="1717" t="s">
        <v>1493</v>
      </c>
      <c r="C49" s="319" t="s">
        <v>1508</v>
      </c>
      <c r="H49" s="2001" t="s">
        <v>1555</v>
      </c>
      <c r="I49" s="2003" t="s">
        <v>1556</v>
      </c>
      <c r="J49" s="2002" t="s">
        <v>1557</v>
      </c>
    </row>
    <row r="50" spans="2:11" s="319" customFormat="1" ht="18" customHeight="1" outlineLevel="1" x14ac:dyDescent="0.3">
      <c r="B50" s="1717" t="s">
        <v>1494</v>
      </c>
      <c r="C50" s="319" t="s">
        <v>1507</v>
      </c>
      <c r="H50" s="2001" t="s">
        <v>1555</v>
      </c>
      <c r="I50" s="2003" t="s">
        <v>1556</v>
      </c>
      <c r="J50" s="2002" t="s">
        <v>1557</v>
      </c>
    </row>
    <row r="51" spans="2:11" s="319" customFormat="1" ht="18" customHeight="1" outlineLevel="1" x14ac:dyDescent="0.3">
      <c r="B51" s="1717" t="s">
        <v>1495</v>
      </c>
      <c r="C51" s="319" t="s">
        <v>1510</v>
      </c>
      <c r="H51" s="2001" t="s">
        <v>1555</v>
      </c>
      <c r="I51" s="2003" t="s">
        <v>1556</v>
      </c>
      <c r="J51" s="2002" t="s">
        <v>1557</v>
      </c>
    </row>
    <row r="52" spans="2:11" s="319" customFormat="1" ht="18" customHeight="1" outlineLevel="1" x14ac:dyDescent="0.3">
      <c r="B52" s="1717" t="s">
        <v>1496</v>
      </c>
      <c r="C52" s="319" t="s">
        <v>1511</v>
      </c>
      <c r="H52" s="2001" t="s">
        <v>1555</v>
      </c>
      <c r="I52" s="2003" t="s">
        <v>1556</v>
      </c>
      <c r="J52" s="2002" t="s">
        <v>1557</v>
      </c>
    </row>
    <row r="53" spans="2:11" s="319" customFormat="1" ht="18" customHeight="1" outlineLevel="1" x14ac:dyDescent="0.3">
      <c r="B53" s="1717" t="s">
        <v>782</v>
      </c>
      <c r="C53" s="319" t="s">
        <v>1512</v>
      </c>
      <c r="H53" s="2001" t="s">
        <v>1555</v>
      </c>
      <c r="I53" s="2003" t="s">
        <v>1556</v>
      </c>
      <c r="J53" s="2002" t="s">
        <v>1557</v>
      </c>
    </row>
    <row r="54" spans="2:11" s="319" customFormat="1" ht="18" customHeight="1" outlineLevel="1" x14ac:dyDescent="0.3">
      <c r="B54" s="1717" t="s">
        <v>795</v>
      </c>
      <c r="C54" s="319" t="s">
        <v>1513</v>
      </c>
      <c r="H54" s="2001" t="s">
        <v>1555</v>
      </c>
      <c r="I54" s="2003" t="s">
        <v>1556</v>
      </c>
      <c r="J54" s="2002" t="s">
        <v>1557</v>
      </c>
    </row>
    <row r="55" spans="2:11" s="319" customFormat="1" ht="18" customHeight="1" outlineLevel="1" x14ac:dyDescent="0.3">
      <c r="B55" s="1717" t="s">
        <v>796</v>
      </c>
      <c r="C55" s="319" t="s">
        <v>1514</v>
      </c>
      <c r="H55" s="2001" t="s">
        <v>1555</v>
      </c>
      <c r="I55" s="2003" t="s">
        <v>1556</v>
      </c>
      <c r="J55" s="2002" t="s">
        <v>1557</v>
      </c>
    </row>
    <row r="56" spans="2:11" ht="18" customHeight="1" outlineLevel="1" x14ac:dyDescent="0.3">
      <c r="B56" s="1717" t="s">
        <v>797</v>
      </c>
      <c r="C56" s="319" t="s">
        <v>1516</v>
      </c>
      <c r="D56" s="319"/>
      <c r="E56" s="319"/>
      <c r="H56" s="2001" t="s">
        <v>1555</v>
      </c>
      <c r="I56" s="2003" t="s">
        <v>1556</v>
      </c>
      <c r="J56" s="2002" t="s">
        <v>1557</v>
      </c>
    </row>
    <row r="57" spans="2:11" s="319" customFormat="1" ht="18" customHeight="1" x14ac:dyDescent="0.3">
      <c r="B57" s="2000" t="s">
        <v>1528</v>
      </c>
      <c r="C57" s="1867" t="s">
        <v>1529</v>
      </c>
      <c r="D57" s="1867"/>
      <c r="E57" s="1867"/>
      <c r="F57" s="1867"/>
      <c r="G57" s="1867"/>
      <c r="H57" s="1867"/>
      <c r="I57" s="1867"/>
      <c r="J57" s="1867"/>
      <c r="K57" s="1867"/>
    </row>
    <row r="58" spans="2:11" ht="18" customHeight="1" outlineLevel="1" x14ac:dyDescent="0.3">
      <c r="B58" s="1717" t="s">
        <v>1493</v>
      </c>
      <c r="C58" s="319" t="s">
        <v>1530</v>
      </c>
      <c r="D58" s="319"/>
      <c r="E58" s="319"/>
      <c r="H58" s="2001" t="s">
        <v>1555</v>
      </c>
      <c r="I58" s="2003" t="s">
        <v>1556</v>
      </c>
      <c r="J58" s="2002" t="s">
        <v>1557</v>
      </c>
    </row>
    <row r="59" spans="2:11" ht="18" customHeight="1" outlineLevel="1" x14ac:dyDescent="0.3">
      <c r="B59" s="1717" t="s">
        <v>1494</v>
      </c>
      <c r="C59" s="319" t="s">
        <v>1531</v>
      </c>
      <c r="D59" s="319"/>
      <c r="E59" s="319"/>
      <c r="H59" s="2001" t="s">
        <v>1555</v>
      </c>
      <c r="I59" s="2003" t="s">
        <v>1556</v>
      </c>
      <c r="J59" s="2002" t="s">
        <v>1557</v>
      </c>
    </row>
    <row r="60" spans="2:11" ht="18" customHeight="1" outlineLevel="1" x14ac:dyDescent="0.3">
      <c r="B60" s="1717" t="s">
        <v>1495</v>
      </c>
      <c r="C60" s="319" t="s">
        <v>1532</v>
      </c>
      <c r="D60" s="319"/>
      <c r="E60" s="319"/>
      <c r="H60" s="2001" t="s">
        <v>1555</v>
      </c>
      <c r="I60" s="2003" t="s">
        <v>1556</v>
      </c>
      <c r="J60" s="2002" t="s">
        <v>1557</v>
      </c>
    </row>
    <row r="61" spans="2:11" s="319" customFormat="1" ht="18" customHeight="1" x14ac:dyDescent="0.3">
      <c r="B61" s="2000" t="s">
        <v>1533</v>
      </c>
      <c r="C61" s="1867" t="s">
        <v>1534</v>
      </c>
      <c r="D61" s="1867"/>
      <c r="E61" s="1867"/>
      <c r="F61" s="1867"/>
      <c r="G61" s="1867"/>
      <c r="H61" s="1867"/>
      <c r="I61" s="1867"/>
      <c r="J61" s="1867"/>
      <c r="K61" s="1867"/>
    </row>
    <row r="62" spans="2:11" ht="18" customHeight="1" outlineLevel="1" x14ac:dyDescent="0.3">
      <c r="B62" s="1717" t="s">
        <v>1493</v>
      </c>
      <c r="C62" s="319" t="s">
        <v>1535</v>
      </c>
      <c r="D62" s="319"/>
      <c r="E62" s="319"/>
      <c r="H62" s="2001" t="s">
        <v>1555</v>
      </c>
      <c r="I62" s="2003" t="s">
        <v>1556</v>
      </c>
      <c r="J62" s="2002" t="s">
        <v>1557</v>
      </c>
    </row>
    <row r="63" spans="2:11" ht="18" customHeight="1" outlineLevel="1" x14ac:dyDescent="0.3">
      <c r="B63" s="1717" t="s">
        <v>1494</v>
      </c>
      <c r="C63" s="319" t="s">
        <v>1531</v>
      </c>
      <c r="D63" s="319"/>
      <c r="E63" s="319"/>
      <c r="H63" s="2001" t="s">
        <v>1555</v>
      </c>
      <c r="I63" s="2003" t="s">
        <v>1556</v>
      </c>
      <c r="J63" s="2002" t="s">
        <v>1557</v>
      </c>
    </row>
    <row r="64" spans="2:11" ht="18" customHeight="1" outlineLevel="1" x14ac:dyDescent="0.3">
      <c r="B64" s="1717" t="s">
        <v>1495</v>
      </c>
      <c r="C64" s="319" t="s">
        <v>1532</v>
      </c>
      <c r="D64" s="319"/>
      <c r="E64" s="319"/>
      <c r="H64" s="2001" t="s">
        <v>1555</v>
      </c>
      <c r="I64" s="2003" t="s">
        <v>1556</v>
      </c>
      <c r="J64" s="2002" t="s">
        <v>1557</v>
      </c>
    </row>
    <row r="65" spans="2:13" s="319" customFormat="1" ht="15.75" customHeight="1" x14ac:dyDescent="0.3">
      <c r="B65" s="2000" t="s">
        <v>1536</v>
      </c>
      <c r="C65" s="1867" t="s">
        <v>1551</v>
      </c>
      <c r="D65" s="1867"/>
      <c r="E65" s="1867"/>
      <c r="F65" s="1867"/>
      <c r="G65" s="1867"/>
      <c r="H65" s="1867"/>
      <c r="I65" s="1867"/>
      <c r="J65" s="1867"/>
      <c r="K65" s="1867"/>
    </row>
    <row r="66" spans="2:13" ht="18" customHeight="1" outlineLevel="1" x14ac:dyDescent="0.3">
      <c r="B66" s="1791" t="s">
        <v>1552</v>
      </c>
      <c r="C66" s="319"/>
      <c r="D66" s="319"/>
      <c r="E66" s="319"/>
    </row>
    <row r="67" spans="2:13" ht="18" customHeight="1" outlineLevel="1" x14ac:dyDescent="0.3">
      <c r="B67" s="1717" t="s">
        <v>1493</v>
      </c>
      <c r="C67" s="319" t="s">
        <v>1553</v>
      </c>
      <c r="D67" s="319"/>
      <c r="E67" s="319"/>
      <c r="H67" s="2001" t="s">
        <v>1555</v>
      </c>
      <c r="I67" s="2003" t="s">
        <v>1556</v>
      </c>
      <c r="J67" s="2002" t="s">
        <v>1557</v>
      </c>
    </row>
    <row r="68" spans="2:13" ht="18" customHeight="1" outlineLevel="1" x14ac:dyDescent="0.3">
      <c r="B68" s="1717" t="s">
        <v>1494</v>
      </c>
      <c r="C68" s="319" t="s">
        <v>1554</v>
      </c>
      <c r="D68" s="319"/>
      <c r="E68" s="319"/>
      <c r="H68" s="2001" t="s">
        <v>1555</v>
      </c>
      <c r="I68" s="2003" t="s">
        <v>1556</v>
      </c>
      <c r="J68" s="2002" t="s">
        <v>1557</v>
      </c>
    </row>
    <row r="69" spans="2:13" ht="8.25" customHeight="1" x14ac:dyDescent="0.25"/>
    <row r="70" spans="2:13" ht="18" customHeight="1" x14ac:dyDescent="0.25">
      <c r="B70" s="2004"/>
      <c r="C70" s="2004"/>
      <c r="D70" s="2004"/>
      <c r="E70" s="2004"/>
      <c r="F70" s="2004"/>
      <c r="G70" s="2004"/>
      <c r="H70" s="2004"/>
      <c r="I70" s="2004"/>
      <c r="J70" s="2004"/>
      <c r="K70" s="2004"/>
      <c r="L70" s="2004"/>
      <c r="M70" s="2004"/>
    </row>
    <row r="71" spans="2:13" ht="18" customHeight="1" x14ac:dyDescent="0.25"/>
    <row r="72" spans="2:13" s="2006" customFormat="1" ht="31.5" customHeight="1" x14ac:dyDescent="0.55000000000000004">
      <c r="B72" s="2005" t="s">
        <v>1484</v>
      </c>
      <c r="C72" s="2005"/>
      <c r="D72" s="2005"/>
      <c r="E72" s="2005"/>
      <c r="F72" s="2005"/>
      <c r="G72" s="2005"/>
      <c r="H72" s="2005"/>
      <c r="I72" s="2005"/>
      <c r="J72" s="2005"/>
      <c r="K72" s="2005"/>
      <c r="L72" s="2005"/>
      <c r="M72" s="2039" t="s">
        <v>1579</v>
      </c>
    </row>
    <row r="73" spans="2:13" s="319" customFormat="1" ht="7.5" customHeight="1" x14ac:dyDescent="0.3"/>
    <row r="74" spans="2:13" s="1791" customFormat="1" ht="19.5" customHeight="1" x14ac:dyDescent="0.3">
      <c r="B74" s="2000" t="s">
        <v>1504</v>
      </c>
      <c r="C74" s="1867" t="s">
        <v>1485</v>
      </c>
      <c r="D74" s="1867"/>
      <c r="E74" s="1867"/>
      <c r="F74" s="1867"/>
      <c r="G74" s="1867"/>
      <c r="H74" s="1867"/>
      <c r="I74" s="1867"/>
      <c r="J74" s="1867"/>
      <c r="K74" s="1867"/>
    </row>
    <row r="75" spans="2:13" s="319" customFormat="1" ht="18" customHeight="1" outlineLevel="1" x14ac:dyDescent="0.3">
      <c r="B75" s="1717" t="s">
        <v>1493</v>
      </c>
      <c r="C75" s="319" t="s">
        <v>1492</v>
      </c>
      <c r="H75" s="2001" t="s">
        <v>1555</v>
      </c>
      <c r="I75" s="2003" t="s">
        <v>1556</v>
      </c>
      <c r="J75" s="2002" t="s">
        <v>1557</v>
      </c>
    </row>
    <row r="76" spans="2:13" s="319" customFormat="1" ht="18" customHeight="1" outlineLevel="1" x14ac:dyDescent="0.3">
      <c r="B76" s="1717" t="s">
        <v>1494</v>
      </c>
      <c r="C76" s="1999" t="s">
        <v>1486</v>
      </c>
      <c r="D76" s="1999"/>
      <c r="E76" s="1999"/>
      <c r="H76" s="2001" t="s">
        <v>1555</v>
      </c>
      <c r="I76" s="2003" t="s">
        <v>1556</v>
      </c>
      <c r="J76" s="2002" t="s">
        <v>1557</v>
      </c>
    </row>
    <row r="77" spans="2:13" s="319" customFormat="1" ht="18" customHeight="1" outlineLevel="1" x14ac:dyDescent="0.3">
      <c r="B77" s="1717" t="s">
        <v>1495</v>
      </c>
      <c r="C77" s="1999" t="s">
        <v>1487</v>
      </c>
      <c r="D77" s="1999"/>
      <c r="E77" s="1999"/>
      <c r="H77" s="2001" t="s">
        <v>1555</v>
      </c>
      <c r="I77" s="2003" t="s">
        <v>1556</v>
      </c>
      <c r="J77" s="2002" t="s">
        <v>1557</v>
      </c>
    </row>
    <row r="78" spans="2:13" s="319" customFormat="1" ht="18" customHeight="1" outlineLevel="1" x14ac:dyDescent="0.3">
      <c r="B78" s="1717" t="s">
        <v>1496</v>
      </c>
      <c r="C78" s="1999" t="s">
        <v>1488</v>
      </c>
      <c r="D78" s="1999"/>
      <c r="E78" s="1999"/>
      <c r="H78" s="2001" t="s">
        <v>1555</v>
      </c>
      <c r="I78" s="2003" t="s">
        <v>1556</v>
      </c>
      <c r="J78" s="2002" t="s">
        <v>1557</v>
      </c>
    </row>
    <row r="79" spans="2:13" s="319" customFormat="1" ht="18" customHeight="1" outlineLevel="1" x14ac:dyDescent="0.3">
      <c r="B79" s="1717" t="s">
        <v>782</v>
      </c>
      <c r="C79" s="1999" t="s">
        <v>1489</v>
      </c>
      <c r="D79" s="1999"/>
      <c r="E79" s="1999"/>
      <c r="H79" s="2001" t="s">
        <v>1555</v>
      </c>
      <c r="I79" s="2003" t="s">
        <v>1556</v>
      </c>
      <c r="J79" s="2002" t="s">
        <v>1557</v>
      </c>
    </row>
    <row r="80" spans="2:13" s="319" customFormat="1" ht="18" customHeight="1" outlineLevel="1" x14ac:dyDescent="0.3">
      <c r="B80" s="1717" t="s">
        <v>795</v>
      </c>
      <c r="C80" s="1999" t="s">
        <v>1490</v>
      </c>
      <c r="D80" s="1999"/>
      <c r="E80" s="1999"/>
      <c r="H80" s="2001" t="s">
        <v>1555</v>
      </c>
      <c r="I80" s="2003" t="s">
        <v>1556</v>
      </c>
      <c r="J80" s="2002" t="s">
        <v>1557</v>
      </c>
    </row>
    <row r="81" spans="2:11" s="319" customFormat="1" ht="18" customHeight="1" outlineLevel="1" x14ac:dyDescent="0.3">
      <c r="B81" s="1717" t="s">
        <v>796</v>
      </c>
      <c r="C81" s="1999" t="s">
        <v>1497</v>
      </c>
      <c r="D81" s="1999"/>
      <c r="E81" s="1999"/>
      <c r="H81" s="2001" t="s">
        <v>1555</v>
      </c>
      <c r="I81" s="2003" t="s">
        <v>1556</v>
      </c>
      <c r="J81" s="2002" t="s">
        <v>1557</v>
      </c>
    </row>
    <row r="82" spans="2:11" s="319" customFormat="1" ht="18" customHeight="1" outlineLevel="1" x14ac:dyDescent="0.3">
      <c r="B82" s="1717" t="s">
        <v>797</v>
      </c>
      <c r="C82" s="1999" t="s">
        <v>1491</v>
      </c>
      <c r="D82" s="1999"/>
      <c r="E82" s="1999"/>
      <c r="H82" s="2001" t="s">
        <v>1555</v>
      </c>
      <c r="I82" s="2003" t="s">
        <v>1556</v>
      </c>
      <c r="J82" s="2002" t="s">
        <v>1557</v>
      </c>
    </row>
    <row r="83" spans="2:11" s="1791" customFormat="1" ht="19.5" customHeight="1" x14ac:dyDescent="0.3">
      <c r="B83" s="2000" t="s">
        <v>1505</v>
      </c>
      <c r="C83" s="1867" t="s">
        <v>1537</v>
      </c>
      <c r="D83" s="1867"/>
      <c r="E83" s="1867"/>
      <c r="F83" s="1867"/>
      <c r="G83" s="1867"/>
      <c r="H83" s="1867"/>
      <c r="I83" s="1867"/>
      <c r="J83" s="1867"/>
      <c r="K83" s="1867"/>
    </row>
    <row r="84" spans="2:11" s="319" customFormat="1" ht="18" customHeight="1" outlineLevel="1" x14ac:dyDescent="0.3">
      <c r="B84" s="1717" t="s">
        <v>1493</v>
      </c>
      <c r="C84" s="1999" t="s">
        <v>1538</v>
      </c>
      <c r="D84" s="1999"/>
      <c r="E84" s="1999"/>
      <c r="H84" s="2001" t="s">
        <v>1555</v>
      </c>
      <c r="I84" s="2003" t="s">
        <v>1556</v>
      </c>
      <c r="J84" s="2002" t="s">
        <v>1557</v>
      </c>
    </row>
    <row r="85" spans="2:11" s="319" customFormat="1" ht="18" customHeight="1" outlineLevel="1" x14ac:dyDescent="0.3">
      <c r="B85" s="1717" t="s">
        <v>1494</v>
      </c>
      <c r="C85" s="1999" t="s">
        <v>1539</v>
      </c>
      <c r="D85" s="1999"/>
      <c r="E85" s="1999"/>
      <c r="H85" s="2001" t="s">
        <v>1555</v>
      </c>
      <c r="I85" s="2003" t="s">
        <v>1556</v>
      </c>
      <c r="J85" s="2002" t="s">
        <v>1557</v>
      </c>
    </row>
    <row r="86" spans="2:11" s="319" customFormat="1" ht="18" customHeight="1" outlineLevel="1" x14ac:dyDescent="0.3">
      <c r="B86" s="1717" t="s">
        <v>1495</v>
      </c>
      <c r="C86" s="1999" t="s">
        <v>1540</v>
      </c>
      <c r="D86" s="1999"/>
      <c r="E86" s="1999"/>
      <c r="H86" s="2001" t="s">
        <v>1555</v>
      </c>
      <c r="I86" s="2003" t="s">
        <v>1556</v>
      </c>
      <c r="J86" s="2002" t="s">
        <v>1557</v>
      </c>
    </row>
    <row r="87" spans="2:11" s="319" customFormat="1" ht="18" customHeight="1" outlineLevel="1" x14ac:dyDescent="0.3">
      <c r="B87" s="1717" t="s">
        <v>1496</v>
      </c>
      <c r="C87" s="1999" t="s">
        <v>1541</v>
      </c>
      <c r="D87" s="1999"/>
      <c r="E87" s="1999"/>
      <c r="H87" s="2001" t="s">
        <v>1555</v>
      </c>
      <c r="I87" s="2003" t="s">
        <v>1556</v>
      </c>
      <c r="J87" s="2002" t="s">
        <v>1557</v>
      </c>
    </row>
    <row r="88" spans="2:11" s="319" customFormat="1" ht="18" customHeight="1" outlineLevel="1" x14ac:dyDescent="0.3">
      <c r="B88" s="1717" t="s">
        <v>782</v>
      </c>
      <c r="C88" s="1999" t="s">
        <v>1542</v>
      </c>
      <c r="D88" s="1999"/>
      <c r="E88" s="1999"/>
      <c r="H88" s="2001" t="s">
        <v>1555</v>
      </c>
      <c r="I88" s="2003" t="s">
        <v>1556</v>
      </c>
      <c r="J88" s="2002" t="s">
        <v>1557</v>
      </c>
    </row>
    <row r="89" spans="2:11" s="319" customFormat="1" ht="18" customHeight="1" outlineLevel="1" x14ac:dyDescent="0.3">
      <c r="B89" s="1717" t="s">
        <v>795</v>
      </c>
      <c r="C89" s="1999" t="s">
        <v>1543</v>
      </c>
      <c r="D89" s="1999"/>
      <c r="E89" s="1999"/>
      <c r="H89" s="2001" t="s">
        <v>1555</v>
      </c>
      <c r="I89" s="2003" t="s">
        <v>1556</v>
      </c>
      <c r="J89" s="2002" t="s">
        <v>1557</v>
      </c>
    </row>
    <row r="90" spans="2:11" s="319" customFormat="1" ht="18" customHeight="1" outlineLevel="1" x14ac:dyDescent="0.3">
      <c r="B90" s="1717" t="s">
        <v>796</v>
      </c>
      <c r="C90" s="1999" t="s">
        <v>1550</v>
      </c>
      <c r="D90" s="1999"/>
      <c r="E90" s="1999"/>
      <c r="H90" s="2001" t="s">
        <v>1555</v>
      </c>
      <c r="I90" s="2003" t="s">
        <v>1556</v>
      </c>
      <c r="J90" s="2002" t="s">
        <v>1557</v>
      </c>
    </row>
    <row r="91" spans="2:11" s="319" customFormat="1" ht="18.75" customHeight="1" x14ac:dyDescent="0.3">
      <c r="B91" s="2000" t="s">
        <v>1506</v>
      </c>
      <c r="C91" s="1867" t="s">
        <v>1498</v>
      </c>
      <c r="D91" s="1867"/>
      <c r="E91" s="1867"/>
      <c r="F91" s="1867"/>
      <c r="G91" s="1867"/>
      <c r="H91" s="1867"/>
      <c r="I91" s="1867"/>
      <c r="J91" s="1867"/>
      <c r="K91" s="1867"/>
    </row>
    <row r="92" spans="2:11" s="319" customFormat="1" ht="18" customHeight="1" outlineLevel="1" x14ac:dyDescent="0.3">
      <c r="B92" s="1717" t="s">
        <v>1493</v>
      </c>
      <c r="C92" s="319" t="s">
        <v>1499</v>
      </c>
      <c r="H92" s="2001" t="s">
        <v>1555</v>
      </c>
      <c r="I92" s="2003" t="s">
        <v>1556</v>
      </c>
      <c r="J92" s="2002" t="s">
        <v>1557</v>
      </c>
    </row>
    <row r="93" spans="2:11" s="319" customFormat="1" ht="18" customHeight="1" outlineLevel="1" x14ac:dyDescent="0.3">
      <c r="B93" s="1717" t="s">
        <v>1494</v>
      </c>
      <c r="C93" s="319" t="s">
        <v>1503</v>
      </c>
      <c r="H93" s="2001" t="s">
        <v>1555</v>
      </c>
      <c r="I93" s="2003" t="s">
        <v>1556</v>
      </c>
      <c r="J93" s="2002" t="s">
        <v>1557</v>
      </c>
    </row>
    <row r="94" spans="2:11" s="319" customFormat="1" ht="18" customHeight="1" outlineLevel="1" x14ac:dyDescent="0.3">
      <c r="B94" s="1717" t="s">
        <v>1495</v>
      </c>
      <c r="C94" s="319" t="s">
        <v>1509</v>
      </c>
      <c r="H94" s="2001" t="s">
        <v>1555</v>
      </c>
      <c r="I94" s="2003" t="s">
        <v>1556</v>
      </c>
      <c r="J94" s="2002" t="s">
        <v>1557</v>
      </c>
    </row>
    <row r="95" spans="2:11" s="319" customFormat="1" ht="15.75" customHeight="1" x14ac:dyDescent="0.3">
      <c r="B95" s="2000" t="s">
        <v>1517</v>
      </c>
      <c r="C95" s="1867" t="s">
        <v>1551</v>
      </c>
      <c r="D95" s="1867"/>
      <c r="E95" s="1867"/>
      <c r="F95" s="1867"/>
      <c r="G95" s="1867"/>
      <c r="H95" s="1867"/>
      <c r="I95" s="1867"/>
      <c r="J95" s="1867"/>
      <c r="K95" s="1867"/>
    </row>
    <row r="96" spans="2:11" ht="18" customHeight="1" outlineLevel="1" x14ac:dyDescent="0.3">
      <c r="B96" s="1791" t="s">
        <v>1552</v>
      </c>
      <c r="C96" s="319"/>
      <c r="D96" s="319"/>
      <c r="E96" s="319"/>
    </row>
    <row r="97" spans="2:13" ht="18" customHeight="1" outlineLevel="1" x14ac:dyDescent="0.3">
      <c r="B97" s="1717" t="s">
        <v>1493</v>
      </c>
      <c r="C97" s="319" t="s">
        <v>1553</v>
      </c>
      <c r="D97" s="319"/>
      <c r="E97" s="319"/>
      <c r="H97" s="2001" t="s">
        <v>1555</v>
      </c>
      <c r="I97" s="2003" t="s">
        <v>1556</v>
      </c>
      <c r="J97" s="2002" t="s">
        <v>1557</v>
      </c>
    </row>
    <row r="98" spans="2:13" ht="18" customHeight="1" outlineLevel="1" x14ac:dyDescent="0.3">
      <c r="B98" s="1717" t="s">
        <v>1494</v>
      </c>
      <c r="C98" s="319" t="s">
        <v>1554</v>
      </c>
      <c r="D98" s="319"/>
      <c r="E98" s="319"/>
      <c r="H98" s="2001" t="s">
        <v>1555</v>
      </c>
      <c r="I98" s="2003" t="s">
        <v>1556</v>
      </c>
      <c r="J98" s="2002" t="s">
        <v>1557</v>
      </c>
    </row>
    <row r="99" spans="2:13" ht="8.25" customHeight="1" x14ac:dyDescent="0.25"/>
    <row r="100" spans="2:13" ht="18" customHeight="1" x14ac:dyDescent="0.25">
      <c r="B100" s="2004"/>
      <c r="C100" s="2004"/>
      <c r="D100" s="2004"/>
      <c r="E100" s="2004"/>
      <c r="F100" s="2004"/>
      <c r="G100" s="2004"/>
      <c r="H100" s="2004"/>
      <c r="I100" s="2004"/>
      <c r="J100" s="2004"/>
      <c r="K100" s="2004"/>
      <c r="L100" s="2004"/>
      <c r="M100" s="2004"/>
    </row>
    <row r="101" spans="2:13" ht="15.75" customHeight="1" x14ac:dyDescent="0.25"/>
    <row r="102" spans="2:13" ht="15.75" customHeight="1" x14ac:dyDescent="0.25"/>
    <row r="103" spans="2:13" ht="15.75" customHeight="1" x14ac:dyDescent="0.25"/>
    <row r="104" spans="2:13" ht="15.75" customHeight="1" x14ac:dyDescent="0.25"/>
    <row r="105" spans="2:13" ht="15.75" customHeight="1" x14ac:dyDescent="0.25"/>
    <row r="106" spans="2:13" ht="15.75" customHeight="1" x14ac:dyDescent="0.25"/>
    <row r="107" spans="2:13" ht="15.75" customHeight="1" x14ac:dyDescent="0.25"/>
    <row r="108" spans="2:13" ht="15.75" customHeight="1" x14ac:dyDescent="0.25"/>
    <row r="109" spans="2:13" ht="15.75" customHeight="1" x14ac:dyDescent="0.25"/>
    <row r="110" spans="2:13" ht="15.75" customHeight="1" x14ac:dyDescent="0.25"/>
    <row r="111" spans="2:13" ht="15.75" customHeight="1"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IJ24"/>
  <sheetViews>
    <sheetView topLeftCell="B1" zoomScale="82" zoomScaleNormal="82" workbookViewId="0">
      <selection activeCell="E12" sqref="E12"/>
    </sheetView>
  </sheetViews>
  <sheetFormatPr defaultColWidth="9.140625" defaultRowHeight="15.75" x14ac:dyDescent="0.25"/>
  <cols>
    <col min="1" max="1" width="5" style="122" customWidth="1"/>
    <col min="2" max="2" width="6.28515625" style="122" customWidth="1"/>
    <col min="3" max="3" width="9.140625" style="122"/>
    <col min="4" max="4" width="23.42578125" style="122" bestFit="1" customWidth="1"/>
    <col min="5" max="7" width="9.140625" style="122"/>
    <col min="8" max="8" width="10.7109375" style="221" customWidth="1"/>
    <col min="9" max="9" width="11.42578125" style="122" customWidth="1"/>
    <col min="10" max="12" width="14" style="122" bestFit="1" customWidth="1"/>
    <col min="13" max="16384" width="9.140625" style="122"/>
  </cols>
  <sheetData>
    <row r="1" spans="1:244" ht="22.5" customHeight="1" x14ac:dyDescent="0.25"/>
    <row r="2" spans="1:244" s="1895" customFormat="1" ht="27" x14ac:dyDescent="0.45">
      <c r="A2" s="487"/>
      <c r="B2" s="2081" t="s">
        <v>1399</v>
      </c>
      <c r="C2" s="2081"/>
      <c r="D2" s="2081"/>
      <c r="E2" s="2081"/>
      <c r="F2" s="2081"/>
      <c r="G2" s="2081"/>
      <c r="H2" s="2081"/>
      <c r="I2" s="2081"/>
      <c r="J2" s="2081"/>
      <c r="K2" s="2081"/>
      <c r="L2" s="2081"/>
      <c r="M2" s="487"/>
      <c r="N2" s="487"/>
      <c r="O2" s="487"/>
      <c r="P2" s="487"/>
      <c r="Q2" s="487"/>
      <c r="R2" s="487"/>
      <c r="S2" s="487"/>
      <c r="T2" s="487"/>
      <c r="U2" s="487"/>
      <c r="V2" s="487"/>
      <c r="W2" s="487"/>
      <c r="X2" s="487"/>
      <c r="Y2" s="487"/>
      <c r="Z2" s="487"/>
      <c r="AA2" s="487"/>
      <c r="AB2" s="487"/>
      <c r="AC2" s="487"/>
      <c r="AD2" s="487"/>
      <c r="AE2" s="487"/>
      <c r="AF2" s="487"/>
      <c r="AG2" s="487"/>
      <c r="AH2" s="487"/>
      <c r="AI2" s="487"/>
      <c r="AJ2" s="487"/>
      <c r="AK2" s="487"/>
      <c r="AL2" s="487"/>
      <c r="AM2" s="487"/>
      <c r="AN2" s="487"/>
      <c r="AO2" s="487"/>
      <c r="AP2" s="487"/>
      <c r="AQ2" s="487"/>
      <c r="AR2" s="487"/>
      <c r="AS2" s="487"/>
      <c r="AT2" s="487"/>
      <c r="AU2" s="487"/>
      <c r="AV2" s="487"/>
      <c r="AW2" s="487"/>
      <c r="AX2" s="487"/>
      <c r="AY2" s="487"/>
      <c r="AZ2" s="487"/>
      <c r="BA2" s="1894"/>
      <c r="BB2" s="1894"/>
      <c r="BC2" s="1894"/>
      <c r="BD2" s="1894"/>
      <c r="BE2" s="1894"/>
      <c r="BF2" s="1894"/>
      <c r="BG2" s="1894"/>
      <c r="BH2" s="1894"/>
      <c r="BI2" s="1894"/>
      <c r="BJ2" s="1894"/>
      <c r="BK2" s="1894"/>
      <c r="BL2" s="1894"/>
      <c r="BM2" s="1894"/>
      <c r="BN2" s="1894"/>
      <c r="BO2" s="1894"/>
      <c r="BP2" s="1894"/>
      <c r="BQ2" s="1894"/>
      <c r="BR2" s="1894"/>
      <c r="BS2" s="1894"/>
      <c r="BT2" s="1894"/>
      <c r="BU2" s="1894"/>
      <c r="BV2" s="1894"/>
      <c r="BW2" s="1894"/>
      <c r="BX2" s="1894"/>
      <c r="BY2" s="1894"/>
      <c r="BZ2" s="1894"/>
      <c r="CA2" s="1894"/>
      <c r="CB2" s="1894"/>
      <c r="CC2" s="1894"/>
      <c r="CD2" s="1894"/>
      <c r="CE2" s="1894"/>
      <c r="CF2" s="1894"/>
      <c r="CG2" s="1894"/>
      <c r="CH2" s="1894"/>
      <c r="CI2" s="1894"/>
      <c r="CJ2" s="1894"/>
      <c r="CK2" s="1894"/>
      <c r="CL2" s="1894"/>
      <c r="CM2" s="1894"/>
      <c r="CN2" s="1894"/>
      <c r="CO2" s="1894"/>
      <c r="CP2" s="1894"/>
      <c r="CQ2" s="1894"/>
      <c r="CR2" s="1894"/>
      <c r="CS2" s="1894"/>
      <c r="CT2" s="1894"/>
      <c r="CU2" s="1894"/>
      <c r="CV2" s="1894"/>
      <c r="CW2" s="1894"/>
      <c r="CX2" s="1894"/>
      <c r="CY2" s="1894"/>
      <c r="CZ2" s="1894"/>
      <c r="DA2" s="1894"/>
      <c r="DB2" s="1894"/>
      <c r="DC2" s="1894"/>
      <c r="DD2" s="1894"/>
      <c r="DE2" s="1894"/>
      <c r="DF2" s="1894"/>
      <c r="DG2" s="1894"/>
      <c r="DH2" s="1894"/>
      <c r="DI2" s="1894"/>
      <c r="DJ2" s="1894"/>
      <c r="DK2" s="1894"/>
      <c r="DL2" s="1894"/>
      <c r="DM2" s="1894"/>
      <c r="DN2" s="1894"/>
      <c r="DO2" s="1894"/>
      <c r="DP2" s="1894"/>
      <c r="DQ2" s="1894"/>
      <c r="DR2" s="1894"/>
      <c r="DS2" s="1894"/>
      <c r="DT2" s="1894"/>
      <c r="DU2" s="1894"/>
      <c r="DV2" s="1894"/>
      <c r="DW2" s="1894"/>
      <c r="DX2" s="1894"/>
      <c r="DY2" s="1894"/>
      <c r="DZ2" s="1894"/>
      <c r="EA2" s="1894"/>
      <c r="EB2" s="1894"/>
      <c r="EC2" s="1894"/>
      <c r="ED2" s="1894"/>
      <c r="EE2" s="1894"/>
      <c r="EF2" s="1894"/>
      <c r="EG2" s="1894"/>
      <c r="EH2" s="1894"/>
      <c r="EI2" s="1894"/>
      <c r="EJ2" s="1894"/>
      <c r="EK2" s="1894"/>
      <c r="EL2" s="1894"/>
      <c r="EM2" s="1894"/>
      <c r="EN2" s="1894"/>
      <c r="EO2" s="1894"/>
      <c r="EP2" s="1894"/>
      <c r="EQ2" s="1894"/>
      <c r="ER2" s="1894"/>
      <c r="ES2" s="1894"/>
      <c r="ET2" s="1894"/>
      <c r="EU2" s="1894"/>
      <c r="EV2" s="1894"/>
      <c r="EW2" s="1894"/>
      <c r="EX2" s="1894"/>
      <c r="EY2" s="1894"/>
      <c r="EZ2" s="1894"/>
      <c r="FA2" s="1894"/>
      <c r="FB2" s="1894"/>
      <c r="FC2" s="1894"/>
      <c r="FD2" s="1894"/>
      <c r="FE2" s="1894"/>
      <c r="FF2" s="1894"/>
      <c r="FG2" s="1894"/>
      <c r="FH2" s="1894"/>
      <c r="FI2" s="1894"/>
      <c r="FJ2" s="1894"/>
      <c r="FK2" s="1894"/>
      <c r="FL2" s="1894"/>
      <c r="FM2" s="1894"/>
      <c r="FN2" s="1894"/>
      <c r="FO2" s="1894"/>
      <c r="FP2" s="1894"/>
      <c r="FQ2" s="1894"/>
      <c r="FR2" s="1894"/>
      <c r="FS2" s="1894"/>
      <c r="FT2" s="1894"/>
      <c r="FU2" s="1894"/>
      <c r="FV2" s="1894"/>
      <c r="FW2" s="1894"/>
      <c r="FX2" s="1894"/>
      <c r="FY2" s="1894"/>
      <c r="FZ2" s="1894"/>
      <c r="GA2" s="1894"/>
      <c r="GB2" s="1894"/>
      <c r="GC2" s="1894"/>
      <c r="GD2" s="1894"/>
      <c r="GE2" s="1894"/>
      <c r="GF2" s="1894"/>
      <c r="GG2" s="1894"/>
      <c r="GH2" s="1894"/>
      <c r="GI2" s="1894"/>
      <c r="GJ2" s="1894"/>
      <c r="GK2" s="1894"/>
      <c r="GL2" s="1894"/>
      <c r="GM2" s="1894"/>
      <c r="GN2" s="1894"/>
      <c r="GO2" s="1894"/>
      <c r="GP2" s="1894"/>
      <c r="GQ2" s="1894"/>
      <c r="GR2" s="1894"/>
      <c r="GS2" s="1894"/>
      <c r="GT2" s="1894"/>
      <c r="GU2" s="1894"/>
      <c r="GV2" s="1894"/>
      <c r="GW2" s="1894"/>
      <c r="GX2" s="1894"/>
      <c r="GY2" s="1894"/>
      <c r="GZ2" s="1894"/>
      <c r="HA2" s="1894"/>
      <c r="HB2" s="1894"/>
      <c r="HC2" s="1894"/>
      <c r="HD2" s="1894"/>
      <c r="HE2" s="1894"/>
      <c r="HF2" s="1894"/>
      <c r="HG2" s="1894"/>
      <c r="HH2" s="1894"/>
      <c r="HI2" s="1894"/>
      <c r="HJ2" s="1894"/>
      <c r="HK2" s="1894"/>
      <c r="HL2" s="1894"/>
      <c r="HM2" s="1894"/>
      <c r="HN2" s="1894"/>
      <c r="HO2" s="1894"/>
      <c r="HP2" s="1894"/>
      <c r="HQ2" s="1894"/>
      <c r="HR2" s="1894"/>
      <c r="HS2" s="1894"/>
      <c r="HT2" s="1894"/>
      <c r="HU2" s="1894"/>
      <c r="HV2" s="1894"/>
      <c r="HW2" s="1894"/>
      <c r="HX2" s="1894"/>
      <c r="HY2" s="1894"/>
      <c r="HZ2" s="1894"/>
      <c r="IA2" s="1894"/>
      <c r="IB2" s="1894"/>
      <c r="IC2" s="1894"/>
      <c r="ID2" s="1894"/>
      <c r="IE2" s="1894"/>
      <c r="IF2" s="1894"/>
      <c r="IG2" s="1894"/>
      <c r="IH2" s="1894"/>
      <c r="II2" s="1894"/>
      <c r="IJ2" s="1894"/>
    </row>
    <row r="3" spans="1:244" s="1895" customFormat="1" ht="7.15" customHeight="1" x14ac:dyDescent="0.25">
      <c r="A3" s="487"/>
      <c r="B3" s="487"/>
      <c r="C3" s="487"/>
      <c r="D3" s="487"/>
      <c r="E3" s="487"/>
      <c r="F3" s="487"/>
      <c r="G3" s="487"/>
      <c r="H3" s="1930"/>
      <c r="I3" s="487"/>
      <c r="J3" s="487"/>
      <c r="K3" s="487"/>
      <c r="L3" s="487"/>
      <c r="M3" s="487"/>
      <c r="N3" s="487"/>
      <c r="O3" s="487"/>
      <c r="P3" s="487"/>
      <c r="Q3" s="487"/>
      <c r="R3" s="487"/>
      <c r="S3" s="487"/>
      <c r="T3" s="487"/>
      <c r="U3" s="487"/>
      <c r="V3" s="487"/>
      <c r="W3" s="487"/>
      <c r="X3" s="487"/>
      <c r="Y3" s="487"/>
      <c r="Z3" s="487"/>
      <c r="AA3" s="487"/>
      <c r="AB3" s="487"/>
      <c r="AC3" s="487"/>
      <c r="AD3" s="487"/>
      <c r="AE3" s="487"/>
      <c r="AF3" s="487"/>
      <c r="AG3" s="487"/>
      <c r="AH3" s="487"/>
      <c r="AI3" s="487"/>
      <c r="AJ3" s="487"/>
      <c r="AK3" s="487"/>
      <c r="AL3" s="487"/>
      <c r="AM3" s="487"/>
      <c r="AN3" s="487"/>
      <c r="AO3" s="487"/>
      <c r="AP3" s="487"/>
      <c r="AQ3" s="487"/>
      <c r="AR3" s="487"/>
      <c r="AS3" s="487"/>
      <c r="AT3" s="487"/>
      <c r="AU3" s="487"/>
      <c r="AV3" s="487"/>
      <c r="AW3" s="487"/>
      <c r="AX3" s="487"/>
      <c r="AY3" s="487"/>
      <c r="AZ3" s="487"/>
      <c r="BA3" s="1894"/>
      <c r="BB3" s="1894"/>
      <c r="BC3" s="1894"/>
      <c r="BD3" s="1894"/>
      <c r="BE3" s="1894"/>
      <c r="BF3" s="1894"/>
      <c r="BG3" s="1894"/>
      <c r="BH3" s="1894"/>
      <c r="BI3" s="1894"/>
      <c r="BJ3" s="1894"/>
      <c r="BK3" s="1894"/>
      <c r="BL3" s="1894"/>
      <c r="BM3" s="1894"/>
      <c r="BN3" s="1894"/>
      <c r="BO3" s="1894"/>
      <c r="BP3" s="1894"/>
      <c r="BQ3" s="1894"/>
      <c r="BR3" s="1894"/>
      <c r="BS3" s="1894"/>
      <c r="BT3" s="1894"/>
      <c r="BU3" s="1894"/>
      <c r="BV3" s="1894"/>
      <c r="BW3" s="1894"/>
      <c r="BX3" s="1894"/>
      <c r="BY3" s="1894"/>
      <c r="BZ3" s="1894"/>
      <c r="CA3" s="1894"/>
      <c r="CB3" s="1894"/>
      <c r="CC3" s="1894"/>
      <c r="CD3" s="1894"/>
      <c r="CE3" s="1894"/>
      <c r="CF3" s="1894"/>
      <c r="CG3" s="1894"/>
      <c r="CH3" s="1894"/>
      <c r="CI3" s="1894"/>
      <c r="CJ3" s="1894"/>
      <c r="CK3" s="1894"/>
      <c r="CL3" s="1894"/>
      <c r="CM3" s="1894"/>
      <c r="CN3" s="1894"/>
      <c r="CO3" s="1894"/>
      <c r="CP3" s="1894"/>
      <c r="CQ3" s="1894"/>
      <c r="CR3" s="1894"/>
      <c r="CS3" s="1894"/>
      <c r="CT3" s="1894"/>
      <c r="CU3" s="1894"/>
      <c r="CV3" s="1894"/>
      <c r="CW3" s="1894"/>
      <c r="CX3" s="1894"/>
      <c r="CY3" s="1894"/>
      <c r="CZ3" s="1894"/>
      <c r="DA3" s="1894"/>
      <c r="DB3" s="1894"/>
      <c r="DC3" s="1894"/>
      <c r="DD3" s="1894"/>
      <c r="DE3" s="1894"/>
      <c r="DF3" s="1894"/>
      <c r="DG3" s="1894"/>
      <c r="DH3" s="1894"/>
      <c r="DI3" s="1894"/>
      <c r="DJ3" s="1894"/>
      <c r="DK3" s="1894"/>
      <c r="DL3" s="1894"/>
      <c r="DM3" s="1894"/>
      <c r="DN3" s="1894"/>
      <c r="DO3" s="1894"/>
      <c r="DP3" s="1894"/>
      <c r="DQ3" s="1894"/>
      <c r="DR3" s="1894"/>
      <c r="DS3" s="1894"/>
      <c r="DT3" s="1894"/>
      <c r="DU3" s="1894"/>
      <c r="DV3" s="1894"/>
      <c r="DW3" s="1894"/>
      <c r="DX3" s="1894"/>
      <c r="DY3" s="1894"/>
      <c r="DZ3" s="1894"/>
      <c r="EA3" s="1894"/>
      <c r="EB3" s="1894"/>
      <c r="EC3" s="1894"/>
      <c r="ED3" s="1894"/>
      <c r="EE3" s="1894"/>
      <c r="EF3" s="1894"/>
      <c r="EG3" s="1894"/>
      <c r="EH3" s="1894"/>
      <c r="EI3" s="1894"/>
      <c r="EJ3" s="1894"/>
      <c r="EK3" s="1894"/>
      <c r="EL3" s="1894"/>
      <c r="EM3" s="1894"/>
      <c r="EN3" s="1894"/>
      <c r="EO3" s="1894"/>
      <c r="EP3" s="1894"/>
      <c r="EQ3" s="1894"/>
      <c r="ER3" s="1894"/>
      <c r="ES3" s="1894"/>
      <c r="ET3" s="1894"/>
      <c r="EU3" s="1894"/>
      <c r="EV3" s="1894"/>
      <c r="EW3" s="1894"/>
      <c r="EX3" s="1894"/>
      <c r="EY3" s="1894"/>
      <c r="EZ3" s="1894"/>
      <c r="FA3" s="1894"/>
      <c r="FB3" s="1894"/>
      <c r="FC3" s="1894"/>
      <c r="FD3" s="1894"/>
      <c r="FE3" s="1894"/>
      <c r="FF3" s="1894"/>
      <c r="FG3" s="1894"/>
      <c r="FH3" s="1894"/>
      <c r="FI3" s="1894"/>
      <c r="FJ3" s="1894"/>
      <c r="FK3" s="1894"/>
      <c r="FL3" s="1894"/>
      <c r="FM3" s="1894"/>
      <c r="FN3" s="1894"/>
      <c r="FO3" s="1894"/>
      <c r="FP3" s="1894"/>
      <c r="FQ3" s="1894"/>
      <c r="FR3" s="1894"/>
      <c r="FS3" s="1894"/>
      <c r="FT3" s="1894"/>
      <c r="FU3" s="1894"/>
      <c r="FV3" s="1894"/>
      <c r="FW3" s="1894"/>
      <c r="FX3" s="1894"/>
      <c r="FY3" s="1894"/>
      <c r="FZ3" s="1894"/>
      <c r="GA3" s="1894"/>
      <c r="GB3" s="1894"/>
      <c r="GC3" s="1894"/>
      <c r="GD3" s="1894"/>
      <c r="GE3" s="1894"/>
      <c r="GF3" s="1894"/>
      <c r="GG3" s="1894"/>
      <c r="GH3" s="1894"/>
      <c r="GI3" s="1894"/>
      <c r="GJ3" s="1894"/>
      <c r="GK3" s="1894"/>
      <c r="GL3" s="1894"/>
      <c r="GM3" s="1894"/>
      <c r="GN3" s="1894"/>
      <c r="GO3" s="1894"/>
      <c r="GP3" s="1894"/>
      <c r="GQ3" s="1894"/>
      <c r="GR3" s="1894"/>
      <c r="GS3" s="1894"/>
      <c r="GT3" s="1894"/>
      <c r="GU3" s="1894"/>
      <c r="GV3" s="1894"/>
      <c r="GW3" s="1894"/>
      <c r="GX3" s="1894"/>
      <c r="GY3" s="1894"/>
      <c r="GZ3" s="1894"/>
      <c r="HA3" s="1894"/>
      <c r="HB3" s="1894"/>
      <c r="HC3" s="1894"/>
      <c r="HD3" s="1894"/>
      <c r="HE3" s="1894"/>
      <c r="HF3" s="1894"/>
      <c r="HG3" s="1894"/>
      <c r="HH3" s="1894"/>
      <c r="HI3" s="1894"/>
      <c r="HJ3" s="1894"/>
      <c r="HK3" s="1894"/>
      <c r="HL3" s="1894"/>
      <c r="HM3" s="1894"/>
      <c r="HN3" s="1894"/>
      <c r="HO3" s="1894"/>
      <c r="HP3" s="1894"/>
      <c r="HQ3" s="1894"/>
      <c r="HR3" s="1894"/>
      <c r="HS3" s="1894"/>
      <c r="HT3" s="1894"/>
      <c r="HU3" s="1894"/>
      <c r="HV3" s="1894"/>
      <c r="HW3" s="1894"/>
      <c r="HX3" s="1894"/>
      <c r="HY3" s="1894"/>
      <c r="HZ3" s="1894"/>
      <c r="IA3" s="1894"/>
      <c r="IB3" s="1894"/>
      <c r="IC3" s="1894"/>
      <c r="ID3" s="1894"/>
      <c r="IE3" s="1894"/>
      <c r="IF3" s="1894"/>
      <c r="IG3" s="1894"/>
      <c r="IH3" s="1894"/>
      <c r="II3" s="1894"/>
      <c r="IJ3" s="1894"/>
    </row>
    <row r="4" spans="1:244" s="1895" customFormat="1" ht="18.75" x14ac:dyDescent="0.3">
      <c r="A4" s="487"/>
      <c r="B4" s="487"/>
      <c r="C4" s="1915" t="s">
        <v>1391</v>
      </c>
      <c r="D4" s="1897"/>
      <c r="E4" s="1897"/>
      <c r="F4" s="1897"/>
      <c r="G4" s="1896"/>
      <c r="H4" s="1931" t="s">
        <v>1392</v>
      </c>
      <c r="I4" s="1896"/>
      <c r="J4" s="1896"/>
      <c r="K4" s="1896"/>
      <c r="L4" s="1899"/>
      <c r="M4" s="1896"/>
      <c r="N4" s="1896"/>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1894"/>
      <c r="BB4" s="1894"/>
      <c r="BC4" s="1894"/>
      <c r="BD4" s="1894"/>
      <c r="BE4" s="1894"/>
      <c r="BF4" s="1894"/>
      <c r="BG4" s="1894"/>
      <c r="BH4" s="1894"/>
      <c r="BI4" s="1894"/>
      <c r="BJ4" s="1894"/>
      <c r="BK4" s="1894"/>
      <c r="BL4" s="1894"/>
      <c r="BM4" s="1894"/>
      <c r="BN4" s="1894"/>
      <c r="BO4" s="1894"/>
      <c r="BP4" s="1894"/>
      <c r="BQ4" s="1894"/>
      <c r="BR4" s="1894"/>
      <c r="BS4" s="1894"/>
      <c r="BT4" s="1894"/>
      <c r="BU4" s="1894"/>
      <c r="BV4" s="1894"/>
      <c r="BW4" s="1894"/>
      <c r="BX4" s="1894"/>
      <c r="BY4" s="1894"/>
      <c r="BZ4" s="1894"/>
      <c r="CA4" s="1894"/>
      <c r="CB4" s="1894"/>
      <c r="CC4" s="1894"/>
      <c r="CD4" s="1894"/>
      <c r="CE4" s="1894"/>
      <c r="CF4" s="1894"/>
      <c r="CG4" s="1894"/>
      <c r="CH4" s="1894"/>
      <c r="CI4" s="1894"/>
      <c r="CJ4" s="1894"/>
      <c r="CK4" s="1894"/>
      <c r="CL4" s="1894"/>
      <c r="CM4" s="1894"/>
      <c r="CN4" s="1894"/>
      <c r="CO4" s="1894"/>
      <c r="CP4" s="1894"/>
      <c r="CQ4" s="1894"/>
      <c r="CR4" s="1894"/>
      <c r="CS4" s="1894"/>
      <c r="CT4" s="1894"/>
      <c r="CU4" s="1894"/>
      <c r="CV4" s="1894"/>
      <c r="CW4" s="1894"/>
      <c r="CX4" s="1894"/>
      <c r="CY4" s="1894"/>
      <c r="CZ4" s="1894"/>
      <c r="DA4" s="1894"/>
      <c r="DB4" s="1894"/>
      <c r="DC4" s="1894"/>
      <c r="DD4" s="1894"/>
      <c r="DE4" s="1894"/>
      <c r="DF4" s="1894"/>
      <c r="DG4" s="1894"/>
      <c r="DH4" s="1894"/>
      <c r="DI4" s="1894"/>
      <c r="DJ4" s="1894"/>
      <c r="DK4" s="1894"/>
      <c r="DL4" s="1894"/>
      <c r="DM4" s="1894"/>
      <c r="DN4" s="1894"/>
      <c r="DO4" s="1894"/>
      <c r="DP4" s="1894"/>
      <c r="DQ4" s="1894"/>
      <c r="DR4" s="1894"/>
      <c r="DS4" s="1894"/>
      <c r="DT4" s="1894"/>
      <c r="DU4" s="1894"/>
      <c r="DV4" s="1894"/>
      <c r="DW4" s="1894"/>
      <c r="DX4" s="1894"/>
      <c r="DY4" s="1894"/>
      <c r="DZ4" s="1894"/>
      <c r="EA4" s="1894"/>
      <c r="EB4" s="1894"/>
      <c r="EC4" s="1894"/>
      <c r="ED4" s="1894"/>
      <c r="EE4" s="1894"/>
      <c r="EF4" s="1894"/>
      <c r="EG4" s="1894"/>
      <c r="EH4" s="1894"/>
      <c r="EI4" s="1894"/>
      <c r="EJ4" s="1894"/>
      <c r="EK4" s="1894"/>
      <c r="EL4" s="1894"/>
      <c r="EM4" s="1894"/>
      <c r="EN4" s="1894"/>
      <c r="EO4" s="1894"/>
      <c r="EP4" s="1894"/>
      <c r="EQ4" s="1894"/>
      <c r="ER4" s="1894"/>
      <c r="ES4" s="1894"/>
      <c r="ET4" s="1894"/>
      <c r="EU4" s="1894"/>
      <c r="EV4" s="1894"/>
      <c r="EW4" s="1894"/>
      <c r="EX4" s="1894"/>
      <c r="EY4" s="1894"/>
      <c r="EZ4" s="1894"/>
      <c r="FA4" s="1894"/>
      <c r="FB4" s="1894"/>
      <c r="FC4" s="1894"/>
      <c r="FD4" s="1894"/>
      <c r="FE4" s="1894"/>
      <c r="FF4" s="1894"/>
      <c r="FG4" s="1894"/>
      <c r="FH4" s="1894"/>
      <c r="FI4" s="1894"/>
      <c r="FJ4" s="1894"/>
      <c r="FK4" s="1894"/>
      <c r="FL4" s="1894"/>
      <c r="FM4" s="1894"/>
      <c r="FN4" s="1894"/>
      <c r="FO4" s="1894"/>
      <c r="FP4" s="1894"/>
      <c r="FQ4" s="1894"/>
      <c r="FR4" s="1894"/>
      <c r="FS4" s="1894"/>
      <c r="FT4" s="1894"/>
      <c r="FU4" s="1894"/>
      <c r="FV4" s="1894"/>
      <c r="FW4" s="1894"/>
      <c r="FX4" s="1894"/>
      <c r="FY4" s="1894"/>
      <c r="FZ4" s="1894"/>
      <c r="GA4" s="1894"/>
      <c r="GB4" s="1894"/>
      <c r="GC4" s="1894"/>
      <c r="GD4" s="1894"/>
      <c r="GE4" s="1894"/>
      <c r="GF4" s="1894"/>
      <c r="GG4" s="1894"/>
      <c r="GH4" s="1894"/>
      <c r="GI4" s="1894"/>
      <c r="GJ4" s="1894"/>
      <c r="GK4" s="1894"/>
      <c r="GL4" s="1894"/>
      <c r="GM4" s="1894"/>
      <c r="GN4" s="1894"/>
      <c r="GO4" s="1894"/>
      <c r="GP4" s="1894"/>
      <c r="GQ4" s="1894"/>
      <c r="GR4" s="1894"/>
      <c r="GS4" s="1894"/>
      <c r="GT4" s="1894"/>
      <c r="GU4" s="1894"/>
      <c r="GV4" s="1894"/>
      <c r="GW4" s="1894"/>
      <c r="GX4" s="1894"/>
      <c r="GY4" s="1894"/>
      <c r="GZ4" s="1894"/>
      <c r="HA4" s="1894"/>
      <c r="HB4" s="1894"/>
      <c r="HC4" s="1894"/>
      <c r="HD4" s="1894"/>
      <c r="HE4" s="1894"/>
      <c r="HF4" s="1894"/>
      <c r="HG4" s="1894"/>
      <c r="HH4" s="1894"/>
      <c r="HI4" s="1894"/>
      <c r="HJ4" s="1894"/>
      <c r="HK4" s="1894"/>
      <c r="HL4" s="1894"/>
      <c r="HM4" s="1894"/>
      <c r="HN4" s="1894"/>
      <c r="HO4" s="1894"/>
      <c r="HP4" s="1894"/>
      <c r="HQ4" s="1894"/>
      <c r="HR4" s="1894"/>
      <c r="HS4" s="1894"/>
      <c r="HT4" s="1894"/>
      <c r="HU4" s="1894"/>
      <c r="HV4" s="1894"/>
      <c r="HW4" s="1894"/>
      <c r="HX4" s="1894"/>
      <c r="HY4" s="1894"/>
      <c r="HZ4" s="1894"/>
      <c r="IA4" s="1894"/>
      <c r="IB4" s="1894"/>
      <c r="IC4" s="1894"/>
      <c r="ID4" s="1894"/>
      <c r="IE4" s="1894"/>
      <c r="IF4" s="1894"/>
      <c r="IG4" s="1894"/>
      <c r="IH4" s="1894"/>
      <c r="II4" s="1894"/>
      <c r="IJ4" s="1894"/>
    </row>
    <row r="5" spans="1:244" s="1895" customFormat="1" x14ac:dyDescent="0.25">
      <c r="A5" s="487"/>
      <c r="B5" s="487"/>
      <c r="C5" s="1897"/>
      <c r="D5" s="1897"/>
      <c r="E5" s="1897"/>
      <c r="F5" s="1897"/>
      <c r="G5" s="1900"/>
      <c r="H5" s="1901"/>
      <c r="I5" s="1901"/>
      <c r="J5" s="1978">
        <f>+K5-1</f>
        <v>2013</v>
      </c>
      <c r="K5" s="1978">
        <f>+L5-1</f>
        <v>2014</v>
      </c>
      <c r="L5" s="1978">
        <f>+Web!D9</f>
        <v>2015</v>
      </c>
      <c r="M5" s="1897"/>
      <c r="N5" s="1896"/>
      <c r="O5" s="487"/>
      <c r="P5" s="487"/>
      <c r="Q5" s="487"/>
      <c r="R5" s="487"/>
      <c r="S5" s="487"/>
      <c r="T5" s="487"/>
      <c r="U5" s="487"/>
      <c r="V5" s="487"/>
      <c r="W5" s="487"/>
      <c r="X5" s="487"/>
      <c r="Y5" s="487"/>
      <c r="Z5" s="487"/>
      <c r="AA5" s="487"/>
      <c r="AB5" s="487"/>
      <c r="AC5" s="487"/>
      <c r="AD5" s="487"/>
      <c r="AE5" s="487"/>
      <c r="AF5" s="487"/>
      <c r="AG5" s="487"/>
      <c r="AH5" s="487"/>
      <c r="AI5" s="487"/>
      <c r="AJ5" s="487"/>
      <c r="AK5" s="487"/>
      <c r="AL5" s="487"/>
      <c r="AM5" s="487"/>
      <c r="AN5" s="487"/>
      <c r="AO5" s="487"/>
      <c r="AP5" s="487"/>
      <c r="AQ5" s="487"/>
      <c r="AR5" s="487"/>
      <c r="AS5" s="487"/>
      <c r="AT5" s="487"/>
      <c r="AU5" s="487"/>
      <c r="AV5" s="487"/>
      <c r="AW5" s="487"/>
      <c r="AX5" s="487"/>
      <c r="AY5" s="487"/>
      <c r="AZ5" s="487"/>
      <c r="BA5" s="1894"/>
      <c r="BB5" s="1894"/>
      <c r="BC5" s="1894"/>
      <c r="BD5" s="1894"/>
      <c r="BE5" s="1894"/>
      <c r="BF5" s="1894"/>
      <c r="BG5" s="1894"/>
      <c r="BH5" s="1894"/>
      <c r="BI5" s="1894"/>
      <c r="BJ5" s="1894"/>
      <c r="BK5" s="1894"/>
      <c r="BL5" s="1894"/>
      <c r="BM5" s="1894"/>
      <c r="BN5" s="1894"/>
      <c r="BO5" s="1894"/>
      <c r="BP5" s="1894"/>
      <c r="BQ5" s="1894"/>
      <c r="BR5" s="1894"/>
      <c r="BS5" s="1894"/>
      <c r="BT5" s="1894"/>
      <c r="BU5" s="1894"/>
      <c r="BV5" s="1894"/>
      <c r="BW5" s="1894"/>
      <c r="BX5" s="1894"/>
      <c r="BY5" s="1894"/>
      <c r="BZ5" s="1894"/>
      <c r="CA5" s="1894"/>
      <c r="CB5" s="1894"/>
      <c r="CC5" s="1894"/>
      <c r="CD5" s="1894"/>
      <c r="CE5" s="1894"/>
      <c r="CF5" s="1894"/>
      <c r="CG5" s="1894"/>
      <c r="CH5" s="1894"/>
      <c r="CI5" s="1894"/>
      <c r="CJ5" s="1894"/>
      <c r="CK5" s="1894"/>
      <c r="CL5" s="1894"/>
      <c r="CM5" s="1894"/>
      <c r="CN5" s="1894"/>
      <c r="CO5" s="1894"/>
      <c r="CP5" s="1894"/>
      <c r="CQ5" s="1894"/>
      <c r="CR5" s="1894"/>
      <c r="CS5" s="1894"/>
      <c r="CT5" s="1894"/>
      <c r="CU5" s="1894"/>
      <c r="CV5" s="1894"/>
      <c r="CW5" s="1894"/>
      <c r="CX5" s="1894"/>
      <c r="CY5" s="1894"/>
      <c r="CZ5" s="1894"/>
      <c r="DA5" s="1894"/>
      <c r="DB5" s="1894"/>
      <c r="DC5" s="1894"/>
      <c r="DD5" s="1894"/>
      <c r="DE5" s="1894"/>
      <c r="DF5" s="1894"/>
      <c r="DG5" s="1894"/>
      <c r="DH5" s="1894"/>
      <c r="DI5" s="1894"/>
      <c r="DJ5" s="1894"/>
      <c r="DK5" s="1894"/>
      <c r="DL5" s="1894"/>
      <c r="DM5" s="1894"/>
      <c r="DN5" s="1894"/>
      <c r="DO5" s="1894"/>
      <c r="DP5" s="1894"/>
      <c r="DQ5" s="1894"/>
      <c r="DR5" s="1894"/>
      <c r="DS5" s="1894"/>
      <c r="DT5" s="1894"/>
      <c r="DU5" s="1894"/>
      <c r="DV5" s="1894"/>
      <c r="DW5" s="1894"/>
      <c r="DX5" s="1894"/>
      <c r="DY5" s="1894"/>
      <c r="DZ5" s="1894"/>
      <c r="EA5" s="1894"/>
      <c r="EB5" s="1894"/>
      <c r="EC5" s="1894"/>
      <c r="ED5" s="1894"/>
      <c r="EE5" s="1894"/>
      <c r="EF5" s="1894"/>
      <c r="EG5" s="1894"/>
      <c r="EH5" s="1894"/>
      <c r="EI5" s="1894"/>
      <c r="EJ5" s="1894"/>
      <c r="EK5" s="1894"/>
      <c r="EL5" s="1894"/>
      <c r="EM5" s="1894"/>
      <c r="EN5" s="1894"/>
      <c r="EO5" s="1894"/>
      <c r="EP5" s="1894"/>
      <c r="EQ5" s="1894"/>
      <c r="ER5" s="1894"/>
      <c r="ES5" s="1894"/>
      <c r="ET5" s="1894"/>
      <c r="EU5" s="1894"/>
      <c r="EV5" s="1894"/>
      <c r="EW5" s="1894"/>
      <c r="EX5" s="1894"/>
      <c r="EY5" s="1894"/>
      <c r="EZ5" s="1894"/>
      <c r="FA5" s="1894"/>
      <c r="FB5" s="1894"/>
      <c r="FC5" s="1894"/>
      <c r="FD5" s="1894"/>
      <c r="FE5" s="1894"/>
      <c r="FF5" s="1894"/>
      <c r="FG5" s="1894"/>
      <c r="FH5" s="1894"/>
      <c r="FI5" s="1894"/>
      <c r="FJ5" s="1894"/>
      <c r="FK5" s="1894"/>
      <c r="FL5" s="1894"/>
      <c r="FM5" s="1894"/>
      <c r="FN5" s="1894"/>
      <c r="FO5" s="1894"/>
      <c r="FP5" s="1894"/>
      <c r="FQ5" s="1894"/>
      <c r="FR5" s="1894"/>
      <c r="FS5" s="1894"/>
      <c r="FT5" s="1894"/>
      <c r="FU5" s="1894"/>
      <c r="FV5" s="1894"/>
      <c r="FW5" s="1894"/>
      <c r="FX5" s="1894"/>
      <c r="FY5" s="1894"/>
      <c r="FZ5" s="1894"/>
      <c r="GA5" s="1894"/>
      <c r="GB5" s="1894"/>
      <c r="GC5" s="1894"/>
      <c r="GD5" s="1894"/>
      <c r="GE5" s="1894"/>
      <c r="GF5" s="1894"/>
      <c r="GG5" s="1894"/>
      <c r="GH5" s="1894"/>
      <c r="GI5" s="1894"/>
      <c r="GJ5" s="1894"/>
      <c r="GK5" s="1894"/>
      <c r="GL5" s="1894"/>
      <c r="GM5" s="1894"/>
      <c r="GN5" s="1894"/>
      <c r="GO5" s="1894"/>
      <c r="GP5" s="1894"/>
      <c r="GQ5" s="1894"/>
      <c r="GR5" s="1894"/>
      <c r="GS5" s="1894"/>
      <c r="GT5" s="1894"/>
      <c r="GU5" s="1894"/>
      <c r="GV5" s="1894"/>
      <c r="GW5" s="1894"/>
      <c r="GX5" s="1894"/>
      <c r="GY5" s="1894"/>
      <c r="GZ5" s="1894"/>
      <c r="HA5" s="1894"/>
      <c r="HB5" s="1894"/>
      <c r="HC5" s="1894"/>
      <c r="HD5" s="1894"/>
      <c r="HE5" s="1894"/>
      <c r="HF5" s="1894"/>
      <c r="HG5" s="1894"/>
      <c r="HH5" s="1894"/>
      <c r="HI5" s="1894"/>
      <c r="HJ5" s="1894"/>
      <c r="HK5" s="1894"/>
      <c r="HL5" s="1894"/>
      <c r="HM5" s="1894"/>
      <c r="HN5" s="1894"/>
      <c r="HO5" s="1894"/>
      <c r="HP5" s="1894"/>
      <c r="HQ5" s="1894"/>
      <c r="HR5" s="1894"/>
      <c r="HS5" s="1894"/>
      <c r="HT5" s="1894"/>
      <c r="HU5" s="1894"/>
      <c r="HV5" s="1894"/>
      <c r="HW5" s="1894"/>
      <c r="HX5" s="1894"/>
      <c r="HY5" s="1894"/>
      <c r="HZ5" s="1894"/>
      <c r="IA5" s="1894"/>
      <c r="IB5" s="1894"/>
      <c r="IC5" s="1894"/>
      <c r="ID5" s="1894"/>
      <c r="IE5" s="1894"/>
      <c r="IF5" s="1894"/>
      <c r="IG5" s="1894"/>
      <c r="IH5" s="1894"/>
      <c r="II5" s="1894"/>
      <c r="IJ5" s="1894"/>
    </row>
    <row r="6" spans="1:244" s="1895" customFormat="1" ht="36" customHeight="1" x14ac:dyDescent="0.4">
      <c r="A6" s="487"/>
      <c r="B6" s="487"/>
      <c r="C6" s="1916" t="s">
        <v>1386</v>
      </c>
      <c r="D6" s="1902" t="s">
        <v>1403</v>
      </c>
      <c r="E6" s="1912"/>
      <c r="F6" s="1912"/>
      <c r="G6" s="487"/>
      <c r="H6" s="1932" t="s">
        <v>1383</v>
      </c>
      <c r="I6" s="1903"/>
      <c r="J6" s="1904">
        <f>+(Mali!H4-Mali!H25)/Mali!H23</f>
        <v>0.31268085752274399</v>
      </c>
      <c r="K6" s="1904">
        <f>+(Mali!I4-Mali!I25)/Mali!I23</f>
        <v>0.32601471318486763</v>
      </c>
      <c r="L6" s="1904">
        <f>+(Mali!J4-Mali!J25)/Mali!J23</f>
        <v>0.30352313366196682</v>
      </c>
      <c r="M6" s="1896"/>
      <c r="N6" s="1896"/>
      <c r="O6" s="487"/>
      <c r="P6" s="487"/>
      <c r="Q6" s="487"/>
      <c r="R6" s="487"/>
      <c r="S6" s="487"/>
      <c r="T6" s="487"/>
      <c r="U6" s="487"/>
      <c r="V6" s="487"/>
      <c r="W6" s="487"/>
      <c r="X6" s="487"/>
      <c r="Y6" s="487"/>
      <c r="Z6" s="487"/>
      <c r="AA6" s="487"/>
      <c r="AB6" s="487"/>
      <c r="AC6" s="487"/>
      <c r="AD6" s="487"/>
      <c r="AE6" s="487"/>
      <c r="AF6" s="487"/>
      <c r="AG6" s="487"/>
      <c r="AH6" s="487"/>
      <c r="AI6" s="487"/>
      <c r="AJ6" s="487"/>
      <c r="AK6" s="487"/>
      <c r="AL6" s="487"/>
      <c r="AM6" s="487"/>
      <c r="AN6" s="487"/>
      <c r="AO6" s="487"/>
      <c r="AP6" s="487"/>
      <c r="AQ6" s="487"/>
      <c r="AR6" s="487"/>
      <c r="AS6" s="487"/>
      <c r="AT6" s="487"/>
      <c r="AU6" s="487"/>
      <c r="AV6" s="487"/>
      <c r="AW6" s="487"/>
      <c r="AX6" s="487"/>
      <c r="AY6" s="487"/>
      <c r="AZ6" s="487"/>
      <c r="BA6" s="1894"/>
      <c r="BB6" s="1894"/>
      <c r="BC6" s="1894"/>
      <c r="BD6" s="1894"/>
      <c r="BE6" s="1894"/>
      <c r="BF6" s="1894"/>
      <c r="BG6" s="1894"/>
      <c r="BH6" s="1894"/>
      <c r="BI6" s="1894"/>
      <c r="BJ6" s="1894"/>
      <c r="BK6" s="1894"/>
      <c r="BL6" s="1894"/>
      <c r="BM6" s="1894"/>
      <c r="BN6" s="1894"/>
      <c r="BO6" s="1894"/>
      <c r="BP6" s="1894"/>
      <c r="BQ6" s="1894"/>
      <c r="BR6" s="1894"/>
      <c r="BS6" s="1894"/>
      <c r="BT6" s="1894"/>
      <c r="BU6" s="1894"/>
      <c r="BV6" s="1894"/>
      <c r="BW6" s="1894"/>
      <c r="BX6" s="1894"/>
      <c r="BY6" s="1894"/>
      <c r="BZ6" s="1894"/>
      <c r="CA6" s="1894"/>
      <c r="CB6" s="1894"/>
      <c r="CC6" s="1894"/>
      <c r="CD6" s="1894"/>
      <c r="CE6" s="1894"/>
      <c r="CF6" s="1894"/>
      <c r="CG6" s="1894"/>
      <c r="CH6" s="1894"/>
      <c r="CI6" s="1894"/>
      <c r="CJ6" s="1894"/>
      <c r="CK6" s="1894"/>
      <c r="CL6" s="1894"/>
      <c r="CM6" s="1894"/>
      <c r="CN6" s="1894"/>
      <c r="CO6" s="1894"/>
      <c r="CP6" s="1894"/>
      <c r="CQ6" s="1894"/>
      <c r="CR6" s="1894"/>
      <c r="CS6" s="1894"/>
      <c r="CT6" s="1894"/>
      <c r="CU6" s="1894"/>
      <c r="CV6" s="1894"/>
      <c r="CW6" s="1894"/>
      <c r="CX6" s="1894"/>
      <c r="CY6" s="1894"/>
      <c r="CZ6" s="1894"/>
      <c r="DA6" s="1894"/>
      <c r="DB6" s="1894"/>
      <c r="DC6" s="1894"/>
      <c r="DD6" s="1894"/>
      <c r="DE6" s="1894"/>
      <c r="DF6" s="1894"/>
      <c r="DG6" s="1894"/>
      <c r="DH6" s="1894"/>
      <c r="DI6" s="1894"/>
      <c r="DJ6" s="1894"/>
      <c r="DK6" s="1894"/>
      <c r="DL6" s="1894"/>
      <c r="DM6" s="1894"/>
      <c r="DN6" s="1894"/>
      <c r="DO6" s="1894"/>
      <c r="DP6" s="1894"/>
      <c r="DQ6" s="1894"/>
      <c r="DR6" s="1894"/>
      <c r="DS6" s="1894"/>
      <c r="DT6" s="1894"/>
      <c r="DU6" s="1894"/>
      <c r="DV6" s="1894"/>
      <c r="DW6" s="1894"/>
      <c r="DX6" s="1894"/>
      <c r="DY6" s="1894"/>
      <c r="DZ6" s="1894"/>
      <c r="EA6" s="1894"/>
      <c r="EB6" s="1894"/>
      <c r="EC6" s="1894"/>
      <c r="ED6" s="1894"/>
      <c r="EE6" s="1894"/>
      <c r="EF6" s="1894"/>
      <c r="EG6" s="1894"/>
      <c r="EH6" s="1894"/>
      <c r="EI6" s="1894"/>
      <c r="EJ6" s="1894"/>
      <c r="EK6" s="1894"/>
      <c r="EL6" s="1894"/>
      <c r="EM6" s="1894"/>
      <c r="EN6" s="1894"/>
      <c r="EO6" s="1894"/>
      <c r="EP6" s="1894"/>
      <c r="EQ6" s="1894"/>
      <c r="ER6" s="1894"/>
      <c r="ES6" s="1894"/>
      <c r="ET6" s="1894"/>
      <c r="EU6" s="1894"/>
      <c r="EV6" s="1894"/>
      <c r="EW6" s="1894"/>
      <c r="EX6" s="1894"/>
      <c r="EY6" s="1894"/>
      <c r="EZ6" s="1894"/>
      <c r="FA6" s="1894"/>
      <c r="FB6" s="1894"/>
      <c r="FC6" s="1894"/>
      <c r="FD6" s="1894"/>
      <c r="FE6" s="1894"/>
      <c r="FF6" s="1894"/>
      <c r="FG6" s="1894"/>
      <c r="FH6" s="1894"/>
      <c r="FI6" s="1894"/>
      <c r="FJ6" s="1894"/>
      <c r="FK6" s="1894"/>
      <c r="FL6" s="1894"/>
      <c r="FM6" s="1894"/>
      <c r="FN6" s="1894"/>
      <c r="FO6" s="1894"/>
      <c r="FP6" s="1894"/>
      <c r="FQ6" s="1894"/>
      <c r="FR6" s="1894"/>
      <c r="FS6" s="1894"/>
      <c r="FT6" s="1894"/>
      <c r="FU6" s="1894"/>
      <c r="FV6" s="1894"/>
      <c r="FW6" s="1894"/>
      <c r="FX6" s="1894"/>
      <c r="FY6" s="1894"/>
      <c r="FZ6" s="1894"/>
      <c r="GA6" s="1894"/>
      <c r="GB6" s="1894"/>
      <c r="GC6" s="1894"/>
      <c r="GD6" s="1894"/>
      <c r="GE6" s="1894"/>
      <c r="GF6" s="1894"/>
      <c r="GG6" s="1894"/>
      <c r="GH6" s="1894"/>
      <c r="GI6" s="1894"/>
      <c r="GJ6" s="1894"/>
      <c r="GK6" s="1894"/>
      <c r="GL6" s="1894"/>
      <c r="GM6" s="1894"/>
      <c r="GN6" s="1894"/>
      <c r="GO6" s="1894"/>
      <c r="GP6" s="1894"/>
      <c r="GQ6" s="1894"/>
      <c r="GR6" s="1894"/>
      <c r="GS6" s="1894"/>
      <c r="GT6" s="1894"/>
      <c r="GU6" s="1894"/>
      <c r="GV6" s="1894"/>
      <c r="GW6" s="1894"/>
      <c r="GX6" s="1894"/>
      <c r="GY6" s="1894"/>
      <c r="GZ6" s="1894"/>
      <c r="HA6" s="1894"/>
      <c r="HB6" s="1894"/>
      <c r="HC6" s="1894"/>
      <c r="HD6" s="1894"/>
      <c r="HE6" s="1894"/>
      <c r="HF6" s="1894"/>
      <c r="HG6" s="1894"/>
      <c r="HH6" s="1894"/>
      <c r="HI6" s="1894"/>
      <c r="HJ6" s="1894"/>
      <c r="HK6" s="1894"/>
      <c r="HL6" s="1894"/>
      <c r="HM6" s="1894"/>
      <c r="HN6" s="1894"/>
      <c r="HO6" s="1894"/>
      <c r="HP6" s="1894"/>
      <c r="HQ6" s="1894"/>
      <c r="HR6" s="1894"/>
      <c r="HS6" s="1894"/>
      <c r="HT6" s="1894"/>
      <c r="HU6" s="1894"/>
      <c r="HV6" s="1894"/>
      <c r="HW6" s="1894"/>
      <c r="HX6" s="1894"/>
      <c r="HY6" s="1894"/>
      <c r="HZ6" s="1894"/>
      <c r="IA6" s="1894"/>
      <c r="IB6" s="1894"/>
      <c r="IC6" s="1894"/>
      <c r="ID6" s="1894"/>
      <c r="IE6" s="1894"/>
      <c r="IF6" s="1894"/>
      <c r="IG6" s="1894"/>
      <c r="IH6" s="1894"/>
      <c r="II6" s="1894"/>
      <c r="IJ6" s="1894"/>
    </row>
    <row r="7" spans="1:244" s="1895" customFormat="1" ht="30" x14ac:dyDescent="0.4">
      <c r="A7" s="487"/>
      <c r="B7" s="487"/>
      <c r="C7" s="1916" t="s">
        <v>1387</v>
      </c>
      <c r="D7" s="1902" t="s">
        <v>1404</v>
      </c>
      <c r="E7" s="1912"/>
      <c r="F7" s="1912"/>
      <c r="G7" s="487"/>
      <c r="H7" s="1932" t="s">
        <v>1384</v>
      </c>
      <c r="I7" s="1903"/>
      <c r="J7" s="1904">
        <f>+(Mali!H46+Mali!H47+Web!H20)/Mali!H23</f>
        <v>0.18972648646261175</v>
      </c>
      <c r="K7" s="1904">
        <f>+(Mali!I46+Mali!I47+Web!I20)/Mali!I23</f>
        <v>0.19675974313846584</v>
      </c>
      <c r="L7" s="1904">
        <f>+(Mali!J46+Mali!J47+Web!J20)/Mali!J23</f>
        <v>0.19922228818442289</v>
      </c>
      <c r="M7" s="1896"/>
      <c r="N7" s="1896"/>
      <c r="O7" s="487"/>
      <c r="P7" s="487"/>
      <c r="Q7" s="487"/>
      <c r="R7" s="487"/>
      <c r="S7" s="487"/>
      <c r="T7" s="487"/>
      <c r="U7" s="487"/>
      <c r="V7" s="487"/>
      <c r="W7" s="487"/>
      <c r="X7" s="487"/>
      <c r="Y7" s="487"/>
      <c r="Z7" s="487"/>
      <c r="AA7" s="487"/>
      <c r="AB7" s="487"/>
      <c r="AC7" s="487"/>
      <c r="AD7" s="487"/>
      <c r="AE7" s="487"/>
      <c r="AF7" s="487"/>
      <c r="AG7" s="487"/>
      <c r="AH7" s="487"/>
      <c r="AI7" s="487"/>
      <c r="AJ7" s="487"/>
      <c r="AK7" s="487"/>
      <c r="AL7" s="487"/>
      <c r="AM7" s="487"/>
      <c r="AN7" s="487"/>
      <c r="AO7" s="487"/>
      <c r="AP7" s="487"/>
      <c r="AQ7" s="487"/>
      <c r="AR7" s="487"/>
      <c r="AS7" s="487"/>
      <c r="AT7" s="487"/>
      <c r="AU7" s="487"/>
      <c r="AV7" s="487"/>
      <c r="AW7" s="487"/>
      <c r="AX7" s="487"/>
      <c r="AY7" s="487"/>
      <c r="AZ7" s="487"/>
      <c r="BA7" s="1894"/>
      <c r="BB7" s="1894"/>
      <c r="BC7" s="1894"/>
      <c r="BD7" s="1894"/>
      <c r="BE7" s="1894"/>
      <c r="BF7" s="1894"/>
      <c r="BG7" s="1894"/>
      <c r="BH7" s="1894"/>
      <c r="BI7" s="1894"/>
      <c r="BJ7" s="1894"/>
      <c r="BK7" s="1894"/>
      <c r="BL7" s="1894"/>
      <c r="BM7" s="1894"/>
      <c r="BN7" s="1894"/>
      <c r="BO7" s="1894"/>
      <c r="BP7" s="1894"/>
      <c r="BQ7" s="1894"/>
      <c r="BR7" s="1894"/>
      <c r="BS7" s="1894"/>
      <c r="BT7" s="1894"/>
      <c r="BU7" s="1894"/>
      <c r="BV7" s="1894"/>
      <c r="BW7" s="1894"/>
      <c r="BX7" s="1894"/>
      <c r="BY7" s="1894"/>
      <c r="BZ7" s="1894"/>
      <c r="CA7" s="1894"/>
      <c r="CB7" s="1894"/>
      <c r="CC7" s="1894"/>
      <c r="CD7" s="1894"/>
      <c r="CE7" s="1894"/>
      <c r="CF7" s="1894"/>
      <c r="CG7" s="1894"/>
      <c r="CH7" s="1894"/>
      <c r="CI7" s="1894"/>
      <c r="CJ7" s="1894"/>
      <c r="CK7" s="1894"/>
      <c r="CL7" s="1894"/>
      <c r="CM7" s="1894"/>
      <c r="CN7" s="1894"/>
      <c r="CO7" s="1894"/>
      <c r="CP7" s="1894"/>
      <c r="CQ7" s="1894"/>
      <c r="CR7" s="1894"/>
      <c r="CS7" s="1894"/>
      <c r="CT7" s="1894"/>
      <c r="CU7" s="1894"/>
      <c r="CV7" s="1894"/>
      <c r="CW7" s="1894"/>
      <c r="CX7" s="1894"/>
      <c r="CY7" s="1894"/>
      <c r="CZ7" s="1894"/>
      <c r="DA7" s="1894"/>
      <c r="DB7" s="1894"/>
      <c r="DC7" s="1894"/>
      <c r="DD7" s="1894"/>
      <c r="DE7" s="1894"/>
      <c r="DF7" s="1894"/>
      <c r="DG7" s="1894"/>
      <c r="DH7" s="1894"/>
      <c r="DI7" s="1894"/>
      <c r="DJ7" s="1894"/>
      <c r="DK7" s="1894"/>
      <c r="DL7" s="1894"/>
      <c r="DM7" s="1894"/>
      <c r="DN7" s="1894"/>
      <c r="DO7" s="1894"/>
      <c r="DP7" s="1894"/>
      <c r="DQ7" s="1894"/>
      <c r="DR7" s="1894"/>
      <c r="DS7" s="1894"/>
      <c r="DT7" s="1894"/>
      <c r="DU7" s="1894"/>
      <c r="DV7" s="1894"/>
      <c r="DW7" s="1894"/>
      <c r="DX7" s="1894"/>
      <c r="DY7" s="1894"/>
      <c r="DZ7" s="1894"/>
      <c r="EA7" s="1894"/>
      <c r="EB7" s="1894"/>
      <c r="EC7" s="1894"/>
      <c r="ED7" s="1894"/>
      <c r="EE7" s="1894"/>
      <c r="EF7" s="1894"/>
      <c r="EG7" s="1894"/>
      <c r="EH7" s="1894"/>
      <c r="EI7" s="1894"/>
      <c r="EJ7" s="1894"/>
      <c r="EK7" s="1894"/>
      <c r="EL7" s="1894"/>
      <c r="EM7" s="1894"/>
      <c r="EN7" s="1894"/>
      <c r="EO7" s="1894"/>
      <c r="EP7" s="1894"/>
      <c r="EQ7" s="1894"/>
      <c r="ER7" s="1894"/>
      <c r="ES7" s="1894"/>
      <c r="ET7" s="1894"/>
      <c r="EU7" s="1894"/>
      <c r="EV7" s="1894"/>
      <c r="EW7" s="1894"/>
      <c r="EX7" s="1894"/>
      <c r="EY7" s="1894"/>
      <c r="EZ7" s="1894"/>
      <c r="FA7" s="1894"/>
      <c r="FB7" s="1894"/>
      <c r="FC7" s="1894"/>
      <c r="FD7" s="1894"/>
      <c r="FE7" s="1894"/>
      <c r="FF7" s="1894"/>
      <c r="FG7" s="1894"/>
      <c r="FH7" s="1894"/>
      <c r="FI7" s="1894"/>
      <c r="FJ7" s="1894"/>
      <c r="FK7" s="1894"/>
      <c r="FL7" s="1894"/>
      <c r="FM7" s="1894"/>
      <c r="FN7" s="1894"/>
      <c r="FO7" s="1894"/>
      <c r="FP7" s="1894"/>
      <c r="FQ7" s="1894"/>
      <c r="FR7" s="1894"/>
      <c r="FS7" s="1894"/>
      <c r="FT7" s="1894"/>
      <c r="FU7" s="1894"/>
      <c r="FV7" s="1894"/>
      <c r="FW7" s="1894"/>
      <c r="FX7" s="1894"/>
      <c r="FY7" s="1894"/>
      <c r="FZ7" s="1894"/>
      <c r="GA7" s="1894"/>
      <c r="GB7" s="1894"/>
      <c r="GC7" s="1894"/>
      <c r="GD7" s="1894"/>
      <c r="GE7" s="1894"/>
      <c r="GF7" s="1894"/>
      <c r="GG7" s="1894"/>
      <c r="GH7" s="1894"/>
      <c r="GI7" s="1894"/>
      <c r="GJ7" s="1894"/>
      <c r="GK7" s="1894"/>
      <c r="GL7" s="1894"/>
      <c r="GM7" s="1894"/>
      <c r="GN7" s="1894"/>
      <c r="GO7" s="1894"/>
      <c r="GP7" s="1894"/>
      <c r="GQ7" s="1894"/>
      <c r="GR7" s="1894"/>
      <c r="GS7" s="1894"/>
      <c r="GT7" s="1894"/>
      <c r="GU7" s="1894"/>
      <c r="GV7" s="1894"/>
      <c r="GW7" s="1894"/>
      <c r="GX7" s="1894"/>
      <c r="GY7" s="1894"/>
      <c r="GZ7" s="1894"/>
      <c r="HA7" s="1894"/>
      <c r="HB7" s="1894"/>
      <c r="HC7" s="1894"/>
      <c r="HD7" s="1894"/>
      <c r="HE7" s="1894"/>
      <c r="HF7" s="1894"/>
      <c r="HG7" s="1894"/>
      <c r="HH7" s="1894"/>
      <c r="HI7" s="1894"/>
      <c r="HJ7" s="1894"/>
      <c r="HK7" s="1894"/>
      <c r="HL7" s="1894"/>
      <c r="HM7" s="1894"/>
      <c r="HN7" s="1894"/>
      <c r="HO7" s="1894"/>
      <c r="HP7" s="1894"/>
      <c r="HQ7" s="1894"/>
      <c r="HR7" s="1894"/>
      <c r="HS7" s="1894"/>
      <c r="HT7" s="1894"/>
      <c r="HU7" s="1894"/>
      <c r="HV7" s="1894"/>
      <c r="HW7" s="1894"/>
      <c r="HX7" s="1894"/>
      <c r="HY7" s="1894"/>
      <c r="HZ7" s="1894"/>
      <c r="IA7" s="1894"/>
      <c r="IB7" s="1894"/>
      <c r="IC7" s="1894"/>
      <c r="ID7" s="1894"/>
      <c r="IE7" s="1894"/>
      <c r="IF7" s="1894"/>
      <c r="IG7" s="1894"/>
      <c r="IH7" s="1894"/>
      <c r="II7" s="1894"/>
      <c r="IJ7" s="1894"/>
    </row>
    <row r="8" spans="1:244" s="1895" customFormat="1" ht="30" x14ac:dyDescent="0.4">
      <c r="A8" s="487"/>
      <c r="B8" s="487"/>
      <c r="C8" s="1916" t="s">
        <v>1388</v>
      </c>
      <c r="D8" s="1902" t="s">
        <v>1405</v>
      </c>
      <c r="E8" s="1912"/>
      <c r="F8" s="1912"/>
      <c r="G8" s="487"/>
      <c r="H8" s="1932" t="s">
        <v>1385</v>
      </c>
      <c r="I8" s="1903"/>
      <c r="J8" s="1904">
        <f>+Mali!H63/Mali!H23</f>
        <v>7.5466947614021465E-2</v>
      </c>
      <c r="K8" s="1904">
        <f>+Mali!I63/Mali!I23</f>
        <v>7.9688632638712162E-2</v>
      </c>
      <c r="L8" s="1904">
        <f>+Mali!J63/Mali!J23</f>
        <v>7.9094323779554498E-2</v>
      </c>
      <c r="M8" s="1896"/>
      <c r="N8" s="1896"/>
      <c r="O8" s="487"/>
      <c r="P8" s="487"/>
      <c r="Q8" s="487"/>
      <c r="R8" s="487"/>
      <c r="S8" s="487"/>
      <c r="T8" s="487"/>
      <c r="U8" s="487"/>
      <c r="V8" s="487"/>
      <c r="W8" s="487"/>
      <c r="X8" s="487"/>
      <c r="Y8" s="487"/>
      <c r="Z8" s="487"/>
      <c r="AA8" s="487"/>
      <c r="AB8" s="487"/>
      <c r="AC8" s="487"/>
      <c r="AD8" s="487"/>
      <c r="AE8" s="487"/>
      <c r="AF8" s="487"/>
      <c r="AG8" s="487"/>
      <c r="AH8" s="487"/>
      <c r="AI8" s="487"/>
      <c r="AJ8" s="487"/>
      <c r="AK8" s="487"/>
      <c r="AL8" s="487"/>
      <c r="AM8" s="487"/>
      <c r="AN8" s="487"/>
      <c r="AO8" s="487"/>
      <c r="AP8" s="487"/>
      <c r="AQ8" s="487"/>
      <c r="AR8" s="487"/>
      <c r="AS8" s="487"/>
      <c r="AT8" s="487"/>
      <c r="AU8" s="487"/>
      <c r="AV8" s="487"/>
      <c r="AW8" s="487"/>
      <c r="AX8" s="487"/>
      <c r="AY8" s="487"/>
      <c r="AZ8" s="487"/>
      <c r="BA8" s="1894"/>
      <c r="BB8" s="1894"/>
      <c r="BC8" s="1894"/>
      <c r="BD8" s="1894"/>
      <c r="BE8" s="1894"/>
      <c r="BF8" s="1894"/>
      <c r="BG8" s="1894"/>
      <c r="BH8" s="1894"/>
      <c r="BI8" s="1894"/>
      <c r="BJ8" s="1894"/>
      <c r="BK8" s="1894"/>
      <c r="BL8" s="1894"/>
      <c r="BM8" s="1894"/>
      <c r="BN8" s="1894"/>
      <c r="BO8" s="1894"/>
      <c r="BP8" s="1894"/>
      <c r="BQ8" s="1894"/>
      <c r="BR8" s="1894"/>
      <c r="BS8" s="1894"/>
      <c r="BT8" s="1894"/>
      <c r="BU8" s="1894"/>
      <c r="BV8" s="1894"/>
      <c r="BW8" s="1894"/>
      <c r="BX8" s="1894"/>
      <c r="BY8" s="1894"/>
      <c r="BZ8" s="1894"/>
      <c r="CA8" s="1894"/>
      <c r="CB8" s="1894"/>
      <c r="CC8" s="1894"/>
      <c r="CD8" s="1894"/>
      <c r="CE8" s="1894"/>
      <c r="CF8" s="1894"/>
      <c r="CG8" s="1894"/>
      <c r="CH8" s="1894"/>
      <c r="CI8" s="1894"/>
      <c r="CJ8" s="1894"/>
      <c r="CK8" s="1894"/>
      <c r="CL8" s="1894"/>
      <c r="CM8" s="1894"/>
      <c r="CN8" s="1894"/>
      <c r="CO8" s="1894"/>
      <c r="CP8" s="1894"/>
      <c r="CQ8" s="1894"/>
      <c r="CR8" s="1894"/>
      <c r="CS8" s="1894"/>
      <c r="CT8" s="1894"/>
      <c r="CU8" s="1894"/>
      <c r="CV8" s="1894"/>
      <c r="CW8" s="1894"/>
      <c r="CX8" s="1894"/>
      <c r="CY8" s="1894"/>
      <c r="CZ8" s="1894"/>
      <c r="DA8" s="1894"/>
      <c r="DB8" s="1894"/>
      <c r="DC8" s="1894"/>
      <c r="DD8" s="1894"/>
      <c r="DE8" s="1894"/>
      <c r="DF8" s="1894"/>
      <c r="DG8" s="1894"/>
      <c r="DH8" s="1894"/>
      <c r="DI8" s="1894"/>
      <c r="DJ8" s="1894"/>
      <c r="DK8" s="1894"/>
      <c r="DL8" s="1894"/>
      <c r="DM8" s="1894"/>
      <c r="DN8" s="1894"/>
      <c r="DO8" s="1894"/>
      <c r="DP8" s="1894"/>
      <c r="DQ8" s="1894"/>
      <c r="DR8" s="1894"/>
      <c r="DS8" s="1894"/>
      <c r="DT8" s="1894"/>
      <c r="DU8" s="1894"/>
      <c r="DV8" s="1894"/>
      <c r="DW8" s="1894"/>
      <c r="DX8" s="1894"/>
      <c r="DY8" s="1894"/>
      <c r="DZ8" s="1894"/>
      <c r="EA8" s="1894"/>
      <c r="EB8" s="1894"/>
      <c r="EC8" s="1894"/>
      <c r="ED8" s="1894"/>
      <c r="EE8" s="1894"/>
      <c r="EF8" s="1894"/>
      <c r="EG8" s="1894"/>
      <c r="EH8" s="1894"/>
      <c r="EI8" s="1894"/>
      <c r="EJ8" s="1894"/>
      <c r="EK8" s="1894"/>
      <c r="EL8" s="1894"/>
      <c r="EM8" s="1894"/>
      <c r="EN8" s="1894"/>
      <c r="EO8" s="1894"/>
      <c r="EP8" s="1894"/>
      <c r="EQ8" s="1894"/>
      <c r="ER8" s="1894"/>
      <c r="ES8" s="1894"/>
      <c r="ET8" s="1894"/>
      <c r="EU8" s="1894"/>
      <c r="EV8" s="1894"/>
      <c r="EW8" s="1894"/>
      <c r="EX8" s="1894"/>
      <c r="EY8" s="1894"/>
      <c r="EZ8" s="1894"/>
      <c r="FA8" s="1894"/>
      <c r="FB8" s="1894"/>
      <c r="FC8" s="1894"/>
      <c r="FD8" s="1894"/>
      <c r="FE8" s="1894"/>
      <c r="FF8" s="1894"/>
      <c r="FG8" s="1894"/>
      <c r="FH8" s="1894"/>
      <c r="FI8" s="1894"/>
      <c r="FJ8" s="1894"/>
      <c r="FK8" s="1894"/>
      <c r="FL8" s="1894"/>
      <c r="FM8" s="1894"/>
      <c r="FN8" s="1894"/>
      <c r="FO8" s="1894"/>
      <c r="FP8" s="1894"/>
      <c r="FQ8" s="1894"/>
      <c r="FR8" s="1894"/>
      <c r="FS8" s="1894"/>
      <c r="FT8" s="1894"/>
      <c r="FU8" s="1894"/>
      <c r="FV8" s="1894"/>
      <c r="FW8" s="1894"/>
      <c r="FX8" s="1894"/>
      <c r="FY8" s="1894"/>
      <c r="FZ8" s="1894"/>
      <c r="GA8" s="1894"/>
      <c r="GB8" s="1894"/>
      <c r="GC8" s="1894"/>
      <c r="GD8" s="1894"/>
      <c r="GE8" s="1894"/>
      <c r="GF8" s="1894"/>
      <c r="GG8" s="1894"/>
      <c r="GH8" s="1894"/>
      <c r="GI8" s="1894"/>
      <c r="GJ8" s="1894"/>
      <c r="GK8" s="1894"/>
      <c r="GL8" s="1894"/>
      <c r="GM8" s="1894"/>
      <c r="GN8" s="1894"/>
      <c r="GO8" s="1894"/>
      <c r="GP8" s="1894"/>
      <c r="GQ8" s="1894"/>
      <c r="GR8" s="1894"/>
      <c r="GS8" s="1894"/>
      <c r="GT8" s="1894"/>
      <c r="GU8" s="1894"/>
      <c r="GV8" s="1894"/>
      <c r="GW8" s="1894"/>
      <c r="GX8" s="1894"/>
      <c r="GY8" s="1894"/>
      <c r="GZ8" s="1894"/>
      <c r="HA8" s="1894"/>
      <c r="HB8" s="1894"/>
      <c r="HC8" s="1894"/>
      <c r="HD8" s="1894"/>
      <c r="HE8" s="1894"/>
      <c r="HF8" s="1894"/>
      <c r="HG8" s="1894"/>
      <c r="HH8" s="1894"/>
      <c r="HI8" s="1894"/>
      <c r="HJ8" s="1894"/>
      <c r="HK8" s="1894"/>
      <c r="HL8" s="1894"/>
      <c r="HM8" s="1894"/>
      <c r="HN8" s="1894"/>
      <c r="HO8" s="1894"/>
      <c r="HP8" s="1894"/>
      <c r="HQ8" s="1894"/>
      <c r="HR8" s="1894"/>
      <c r="HS8" s="1894"/>
      <c r="HT8" s="1894"/>
      <c r="HU8" s="1894"/>
      <c r="HV8" s="1894"/>
      <c r="HW8" s="1894"/>
      <c r="HX8" s="1894"/>
      <c r="HY8" s="1894"/>
      <c r="HZ8" s="1894"/>
      <c r="IA8" s="1894"/>
      <c r="IB8" s="1894"/>
      <c r="IC8" s="1894"/>
      <c r="ID8" s="1894"/>
      <c r="IE8" s="1894"/>
      <c r="IF8" s="1894"/>
      <c r="IG8" s="1894"/>
      <c r="IH8" s="1894"/>
      <c r="II8" s="1894"/>
      <c r="IJ8" s="1894"/>
    </row>
    <row r="9" spans="1:244" s="1895" customFormat="1" ht="20.25" x14ac:dyDescent="0.4">
      <c r="A9" s="487"/>
      <c r="B9" s="487"/>
      <c r="C9" s="1916" t="s">
        <v>1389</v>
      </c>
      <c r="D9" s="1902" t="s">
        <v>1406</v>
      </c>
      <c r="E9" s="1912"/>
      <c r="F9" s="1912"/>
      <c r="G9" s="487"/>
      <c r="H9" s="1932" t="s">
        <v>1390</v>
      </c>
      <c r="I9" s="1903"/>
      <c r="J9" s="1904">
        <f>+Web!H18/(Mali!H33+Mali!H25)</f>
        <v>1.4145728366812611</v>
      </c>
      <c r="K9" s="1904">
        <f>+Web!I18/(Mali!I33+Mali!I25)</f>
        <v>1.4294098513226168</v>
      </c>
      <c r="L9" s="1904">
        <f>+Web!J18/(Mali!J33+Mali!J25)</f>
        <v>1.4013528682658791</v>
      </c>
      <c r="M9" s="1898"/>
      <c r="N9" s="1896"/>
      <c r="O9" s="487"/>
      <c r="P9" s="487"/>
      <c r="Q9" s="487"/>
      <c r="R9" s="487"/>
      <c r="S9" s="487"/>
      <c r="T9" s="487"/>
      <c r="U9" s="487"/>
      <c r="V9" s="487"/>
      <c r="W9" s="487"/>
      <c r="X9" s="487"/>
      <c r="Y9" s="487"/>
      <c r="Z9" s="487"/>
      <c r="AA9" s="487"/>
      <c r="AB9" s="487"/>
      <c r="AC9" s="487"/>
      <c r="AD9" s="487"/>
      <c r="AE9" s="487"/>
      <c r="AF9" s="487"/>
      <c r="AG9" s="487"/>
      <c r="AH9" s="487"/>
      <c r="AI9" s="487"/>
      <c r="AJ9" s="487"/>
      <c r="AK9" s="487"/>
      <c r="AL9" s="487"/>
      <c r="AM9" s="487"/>
      <c r="AN9" s="487"/>
      <c r="AO9" s="487"/>
      <c r="AP9" s="487"/>
      <c r="AQ9" s="487"/>
      <c r="AR9" s="487"/>
      <c r="AS9" s="487"/>
      <c r="AT9" s="487"/>
      <c r="AU9" s="487"/>
      <c r="AV9" s="487"/>
      <c r="AW9" s="487"/>
      <c r="AX9" s="487"/>
      <c r="AY9" s="487"/>
      <c r="AZ9" s="487"/>
      <c r="BA9" s="1894"/>
      <c r="BB9" s="1894"/>
      <c r="BC9" s="1894"/>
      <c r="BD9" s="1894"/>
      <c r="BE9" s="1894"/>
      <c r="BF9" s="1894"/>
      <c r="BG9" s="1894"/>
      <c r="BH9" s="1894"/>
      <c r="BI9" s="1894"/>
      <c r="BJ9" s="1894"/>
      <c r="BK9" s="1894"/>
      <c r="BL9" s="1894"/>
      <c r="BM9" s="1894"/>
      <c r="BN9" s="1894"/>
      <c r="BO9" s="1894"/>
      <c r="BP9" s="1894"/>
      <c r="BQ9" s="1894"/>
      <c r="BR9" s="1894"/>
      <c r="BS9" s="1894"/>
      <c r="BT9" s="1894"/>
      <c r="BU9" s="1894"/>
      <c r="BV9" s="1894"/>
      <c r="BW9" s="1894"/>
      <c r="BX9" s="1894"/>
      <c r="BY9" s="1894"/>
      <c r="BZ9" s="1894"/>
      <c r="CA9" s="1894"/>
      <c r="CB9" s="1894"/>
      <c r="CC9" s="1894"/>
      <c r="CD9" s="1894"/>
      <c r="CE9" s="1894"/>
      <c r="CF9" s="1894"/>
      <c r="CG9" s="1894"/>
      <c r="CH9" s="1894"/>
      <c r="CI9" s="1894"/>
      <c r="CJ9" s="1894"/>
      <c r="CK9" s="1894"/>
      <c r="CL9" s="1894"/>
      <c r="CM9" s="1894"/>
      <c r="CN9" s="1894"/>
      <c r="CO9" s="1894"/>
      <c r="CP9" s="1894"/>
      <c r="CQ9" s="1894"/>
      <c r="CR9" s="1894"/>
      <c r="CS9" s="1894"/>
      <c r="CT9" s="1894"/>
      <c r="CU9" s="1894"/>
      <c r="CV9" s="1894"/>
      <c r="CW9" s="1894"/>
      <c r="CX9" s="1894"/>
      <c r="CY9" s="1894"/>
      <c r="CZ9" s="1894"/>
      <c r="DA9" s="1894"/>
      <c r="DB9" s="1894"/>
      <c r="DC9" s="1894"/>
      <c r="DD9" s="1894"/>
      <c r="DE9" s="1894"/>
      <c r="DF9" s="1894"/>
      <c r="DG9" s="1894"/>
      <c r="DH9" s="1894"/>
      <c r="DI9" s="1894"/>
      <c r="DJ9" s="1894"/>
      <c r="DK9" s="1894"/>
      <c r="DL9" s="1894"/>
      <c r="DM9" s="1894"/>
      <c r="DN9" s="1894"/>
      <c r="DO9" s="1894"/>
      <c r="DP9" s="1894"/>
      <c r="DQ9" s="1894"/>
      <c r="DR9" s="1894"/>
      <c r="DS9" s="1894"/>
      <c r="DT9" s="1894"/>
      <c r="DU9" s="1894"/>
      <c r="DV9" s="1894"/>
      <c r="DW9" s="1894"/>
      <c r="DX9" s="1894"/>
      <c r="DY9" s="1894"/>
      <c r="DZ9" s="1894"/>
      <c r="EA9" s="1894"/>
      <c r="EB9" s="1894"/>
      <c r="EC9" s="1894"/>
      <c r="ED9" s="1894"/>
      <c r="EE9" s="1894"/>
      <c r="EF9" s="1894"/>
      <c r="EG9" s="1894"/>
      <c r="EH9" s="1894"/>
      <c r="EI9" s="1894"/>
      <c r="EJ9" s="1894"/>
      <c r="EK9" s="1894"/>
      <c r="EL9" s="1894"/>
      <c r="EM9" s="1894"/>
      <c r="EN9" s="1894"/>
      <c r="EO9" s="1894"/>
      <c r="EP9" s="1894"/>
      <c r="EQ9" s="1894"/>
      <c r="ER9" s="1894"/>
      <c r="ES9" s="1894"/>
      <c r="ET9" s="1894"/>
      <c r="EU9" s="1894"/>
      <c r="EV9" s="1894"/>
      <c r="EW9" s="1894"/>
      <c r="EX9" s="1894"/>
      <c r="EY9" s="1894"/>
      <c r="EZ9" s="1894"/>
      <c r="FA9" s="1894"/>
      <c r="FB9" s="1894"/>
      <c r="FC9" s="1894"/>
      <c r="FD9" s="1894"/>
      <c r="FE9" s="1894"/>
      <c r="FF9" s="1894"/>
      <c r="FG9" s="1894"/>
      <c r="FH9" s="1894"/>
      <c r="FI9" s="1894"/>
      <c r="FJ9" s="1894"/>
      <c r="FK9" s="1894"/>
      <c r="FL9" s="1894"/>
      <c r="FM9" s="1894"/>
      <c r="FN9" s="1894"/>
      <c r="FO9" s="1894"/>
      <c r="FP9" s="1894"/>
      <c r="FQ9" s="1894"/>
      <c r="FR9" s="1894"/>
      <c r="FS9" s="1894"/>
      <c r="FT9" s="1894"/>
      <c r="FU9" s="1894"/>
      <c r="FV9" s="1894"/>
      <c r="FW9" s="1894"/>
      <c r="FX9" s="1894"/>
      <c r="FY9" s="1894"/>
      <c r="FZ9" s="1894"/>
      <c r="GA9" s="1894"/>
      <c r="GB9" s="1894"/>
      <c r="GC9" s="1894"/>
      <c r="GD9" s="1894"/>
      <c r="GE9" s="1894"/>
      <c r="GF9" s="1894"/>
      <c r="GG9" s="1894"/>
      <c r="GH9" s="1894"/>
      <c r="GI9" s="1894"/>
      <c r="GJ9" s="1894"/>
      <c r="GK9" s="1894"/>
      <c r="GL9" s="1894"/>
      <c r="GM9" s="1894"/>
      <c r="GN9" s="1894"/>
      <c r="GO9" s="1894"/>
      <c r="GP9" s="1894"/>
      <c r="GQ9" s="1894"/>
      <c r="GR9" s="1894"/>
      <c r="GS9" s="1894"/>
      <c r="GT9" s="1894"/>
      <c r="GU9" s="1894"/>
      <c r="GV9" s="1894"/>
      <c r="GW9" s="1894"/>
      <c r="GX9" s="1894"/>
      <c r="GY9" s="1894"/>
      <c r="GZ9" s="1894"/>
      <c r="HA9" s="1894"/>
      <c r="HB9" s="1894"/>
      <c r="HC9" s="1894"/>
      <c r="HD9" s="1894"/>
      <c r="HE9" s="1894"/>
      <c r="HF9" s="1894"/>
      <c r="HG9" s="1894"/>
      <c r="HH9" s="1894"/>
      <c r="HI9" s="1894"/>
      <c r="HJ9" s="1894"/>
      <c r="HK9" s="1894"/>
      <c r="HL9" s="1894"/>
      <c r="HM9" s="1894"/>
      <c r="HN9" s="1894"/>
      <c r="HO9" s="1894"/>
      <c r="HP9" s="1894"/>
      <c r="HQ9" s="1894"/>
      <c r="HR9" s="1894"/>
      <c r="HS9" s="1894"/>
      <c r="HT9" s="1894"/>
      <c r="HU9" s="1894"/>
      <c r="HV9" s="1894"/>
      <c r="HW9" s="1894"/>
      <c r="HX9" s="1894"/>
      <c r="HY9" s="1894"/>
      <c r="HZ9" s="1894"/>
      <c r="IA9" s="1894"/>
      <c r="IB9" s="1894"/>
      <c r="IC9" s="1894"/>
      <c r="ID9" s="1894"/>
      <c r="IE9" s="1894"/>
      <c r="IF9" s="1894"/>
      <c r="IG9" s="1894"/>
      <c r="IH9" s="1894"/>
      <c r="II9" s="1894"/>
      <c r="IJ9" s="1894"/>
    </row>
    <row r="10" spans="1:244" s="1895" customFormat="1" x14ac:dyDescent="0.25">
      <c r="A10" s="487"/>
      <c r="B10" s="487"/>
      <c r="C10" s="1897"/>
      <c r="D10" s="1905"/>
      <c r="E10" s="1897"/>
      <c r="F10" s="1897"/>
      <c r="G10" s="1896"/>
      <c r="H10" s="1932"/>
      <c r="I10" s="1906"/>
      <c r="J10" s="1896"/>
      <c r="K10" s="1896"/>
      <c r="L10" s="1896"/>
      <c r="M10" s="1896"/>
      <c r="N10" s="1896"/>
      <c r="O10" s="1896"/>
      <c r="P10" s="1896"/>
      <c r="Q10" s="487"/>
      <c r="R10" s="487"/>
      <c r="S10" s="487"/>
      <c r="T10" s="487"/>
      <c r="U10" s="487"/>
      <c r="V10" s="487"/>
      <c r="W10" s="487"/>
      <c r="X10" s="487"/>
      <c r="Y10" s="487"/>
      <c r="Z10" s="487"/>
      <c r="AA10" s="487"/>
      <c r="AB10" s="487"/>
      <c r="AC10" s="487"/>
      <c r="AD10" s="487"/>
      <c r="AE10" s="487"/>
      <c r="AF10" s="487"/>
      <c r="AG10" s="487"/>
      <c r="AH10" s="487"/>
      <c r="AI10" s="487"/>
      <c r="AJ10" s="487"/>
      <c r="AK10" s="487"/>
      <c r="AL10" s="487"/>
      <c r="AM10" s="487"/>
      <c r="AN10" s="487"/>
      <c r="AO10" s="487"/>
      <c r="AP10" s="487"/>
      <c r="AQ10" s="487"/>
      <c r="AR10" s="487"/>
      <c r="AS10" s="487"/>
      <c r="AT10" s="487"/>
      <c r="AU10" s="487"/>
      <c r="AV10" s="487"/>
      <c r="AW10" s="487"/>
      <c r="AX10" s="487"/>
      <c r="AY10" s="487"/>
      <c r="AZ10" s="487"/>
      <c r="BA10" s="1894"/>
      <c r="BB10" s="1894"/>
      <c r="BC10" s="1894"/>
      <c r="BD10" s="1894"/>
      <c r="BE10" s="1894"/>
      <c r="BF10" s="1894"/>
      <c r="BG10" s="1894"/>
      <c r="BH10" s="1894"/>
      <c r="BI10" s="1894"/>
      <c r="BJ10" s="1894"/>
      <c r="BK10" s="1894"/>
      <c r="BL10" s="1894"/>
      <c r="BM10" s="1894"/>
      <c r="BN10" s="1894"/>
      <c r="BO10" s="1894"/>
      <c r="BP10" s="1894"/>
      <c r="BQ10" s="1894"/>
      <c r="BR10" s="1894"/>
      <c r="BS10" s="1894"/>
      <c r="BT10" s="1894"/>
      <c r="BU10" s="1894"/>
      <c r="BV10" s="1894"/>
      <c r="BW10" s="1894"/>
      <c r="BX10" s="1894"/>
      <c r="BY10" s="1894"/>
      <c r="BZ10" s="1894"/>
      <c r="CA10" s="1894"/>
      <c r="CB10" s="1894"/>
      <c r="CC10" s="1894"/>
      <c r="CD10" s="1894"/>
      <c r="CE10" s="1894"/>
      <c r="CF10" s="1894"/>
      <c r="CG10" s="1894"/>
      <c r="CH10" s="1894"/>
      <c r="CI10" s="1894"/>
      <c r="CJ10" s="1894"/>
      <c r="CK10" s="1894"/>
      <c r="CL10" s="1894"/>
      <c r="CM10" s="1894"/>
      <c r="CN10" s="1894"/>
      <c r="CO10" s="1894"/>
      <c r="CP10" s="1894"/>
      <c r="CQ10" s="1894"/>
      <c r="CR10" s="1894"/>
      <c r="CS10" s="1894"/>
      <c r="CT10" s="1894"/>
      <c r="CU10" s="1894"/>
      <c r="CV10" s="1894"/>
      <c r="CW10" s="1894"/>
      <c r="CX10" s="1894"/>
      <c r="CY10" s="1894"/>
      <c r="CZ10" s="1894"/>
      <c r="DA10" s="1894"/>
      <c r="DB10" s="1894"/>
      <c r="DC10" s="1894"/>
      <c r="DD10" s="1894"/>
      <c r="DE10" s="1894"/>
      <c r="DF10" s="1894"/>
      <c r="DG10" s="1894"/>
      <c r="DH10" s="1894"/>
      <c r="DI10" s="1894"/>
      <c r="DJ10" s="1894"/>
      <c r="DK10" s="1894"/>
      <c r="DL10" s="1894"/>
      <c r="DM10" s="1894"/>
      <c r="DN10" s="1894"/>
      <c r="DO10" s="1894"/>
      <c r="DP10" s="1894"/>
      <c r="DQ10" s="1894"/>
      <c r="DR10" s="1894"/>
      <c r="DS10" s="1894"/>
      <c r="DT10" s="1894"/>
      <c r="DU10" s="1894"/>
      <c r="DV10" s="1894"/>
      <c r="DW10" s="1894"/>
      <c r="DX10" s="1894"/>
      <c r="DY10" s="1894"/>
      <c r="DZ10" s="1894"/>
      <c r="EA10" s="1894"/>
      <c r="EB10" s="1894"/>
      <c r="EC10" s="1894"/>
      <c r="ED10" s="1894"/>
      <c r="EE10" s="1894"/>
      <c r="EF10" s="1894"/>
      <c r="EG10" s="1894"/>
      <c r="EH10" s="1894"/>
      <c r="EI10" s="1894"/>
      <c r="EJ10" s="1894"/>
      <c r="EK10" s="1894"/>
      <c r="EL10" s="1894"/>
      <c r="EM10" s="1894"/>
      <c r="EN10" s="1894"/>
      <c r="EO10" s="1894"/>
      <c r="EP10" s="1894"/>
      <c r="EQ10" s="1894"/>
      <c r="ER10" s="1894"/>
      <c r="ES10" s="1894"/>
      <c r="ET10" s="1894"/>
      <c r="EU10" s="1894"/>
      <c r="EV10" s="1894"/>
      <c r="EW10" s="1894"/>
      <c r="EX10" s="1894"/>
      <c r="EY10" s="1894"/>
      <c r="EZ10" s="1894"/>
      <c r="FA10" s="1894"/>
      <c r="FB10" s="1894"/>
      <c r="FC10" s="1894"/>
      <c r="FD10" s="1894"/>
      <c r="FE10" s="1894"/>
      <c r="FF10" s="1894"/>
      <c r="FG10" s="1894"/>
      <c r="FH10" s="1894"/>
      <c r="FI10" s="1894"/>
      <c r="FJ10" s="1894"/>
      <c r="FK10" s="1894"/>
      <c r="FL10" s="1894"/>
      <c r="FM10" s="1894"/>
      <c r="FN10" s="1894"/>
      <c r="FO10" s="1894"/>
      <c r="FP10" s="1894"/>
      <c r="FQ10" s="1894"/>
      <c r="FR10" s="1894"/>
      <c r="FS10" s="1894"/>
      <c r="FT10" s="1894"/>
      <c r="FU10" s="1894"/>
      <c r="FV10" s="1894"/>
      <c r="FW10" s="1894"/>
      <c r="FX10" s="1894"/>
      <c r="FY10" s="1894"/>
      <c r="FZ10" s="1894"/>
      <c r="GA10" s="1894"/>
      <c r="GB10" s="1894"/>
      <c r="GC10" s="1894"/>
      <c r="GD10" s="1894"/>
      <c r="GE10" s="1894"/>
      <c r="GF10" s="1894"/>
      <c r="GG10" s="1894"/>
      <c r="GH10" s="1894"/>
      <c r="GI10" s="1894"/>
      <c r="GJ10" s="1894"/>
      <c r="GK10" s="1894"/>
      <c r="GL10" s="1894"/>
      <c r="GM10" s="1894"/>
      <c r="GN10" s="1894"/>
      <c r="GO10" s="1894"/>
      <c r="GP10" s="1894"/>
      <c r="GQ10" s="1894"/>
      <c r="GR10" s="1894"/>
      <c r="GS10" s="1894"/>
      <c r="GT10" s="1894"/>
      <c r="GU10" s="1894"/>
      <c r="GV10" s="1894"/>
      <c r="GW10" s="1894"/>
      <c r="GX10" s="1894"/>
      <c r="GY10" s="1894"/>
      <c r="GZ10" s="1894"/>
      <c r="HA10" s="1894"/>
      <c r="HB10" s="1894"/>
      <c r="HC10" s="1894"/>
      <c r="HD10" s="1894"/>
      <c r="HE10" s="1894"/>
      <c r="HF10" s="1894"/>
      <c r="HG10" s="1894"/>
      <c r="HH10" s="1894"/>
      <c r="HI10" s="1894"/>
      <c r="HJ10" s="1894"/>
      <c r="HK10" s="1894"/>
      <c r="HL10" s="1894"/>
      <c r="HM10" s="1894"/>
      <c r="HN10" s="1894"/>
      <c r="HO10" s="1894"/>
      <c r="HP10" s="1894"/>
      <c r="HQ10" s="1894"/>
      <c r="HR10" s="1894"/>
      <c r="HS10" s="1894"/>
      <c r="HT10" s="1894"/>
      <c r="HU10" s="1894"/>
      <c r="HV10" s="1894"/>
      <c r="HW10" s="1894"/>
      <c r="HX10" s="1894"/>
      <c r="HY10" s="1894"/>
      <c r="HZ10" s="1894"/>
      <c r="IA10" s="1894"/>
      <c r="IB10" s="1894"/>
      <c r="IC10" s="1894"/>
      <c r="ID10" s="1894"/>
      <c r="IE10" s="1894"/>
      <c r="IF10" s="1894"/>
      <c r="IG10" s="1894"/>
      <c r="IH10" s="1894"/>
      <c r="II10" s="1894"/>
      <c r="IJ10" s="1894"/>
    </row>
    <row r="11" spans="1:244" s="1895" customFormat="1" ht="18.75" x14ac:dyDescent="0.3">
      <c r="A11" s="487"/>
      <c r="B11" s="487"/>
      <c r="C11" s="1917" t="s">
        <v>1393</v>
      </c>
      <c r="D11" s="1897"/>
      <c r="E11" s="1897"/>
      <c r="F11" s="1897"/>
      <c r="G11" s="1907"/>
      <c r="H11" s="1932"/>
      <c r="I11" s="1897"/>
      <c r="J11" s="1896"/>
      <c r="K11" s="1896"/>
      <c r="L11" s="1896"/>
      <c r="M11" s="1896"/>
      <c r="N11" s="1896"/>
      <c r="O11" s="1896"/>
      <c r="P11" s="1896"/>
      <c r="Q11" s="487"/>
      <c r="R11" s="487"/>
      <c r="S11" s="487"/>
      <c r="T11" s="487"/>
      <c r="U11" s="487"/>
      <c r="V11" s="487"/>
      <c r="W11" s="487"/>
      <c r="X11" s="487"/>
      <c r="Y11" s="487"/>
      <c r="Z11" s="487"/>
      <c r="AA11" s="487"/>
      <c r="AB11" s="487"/>
      <c r="AC11" s="487"/>
      <c r="AD11" s="487"/>
      <c r="AE11" s="487"/>
      <c r="AF11" s="487"/>
      <c r="AG11" s="487"/>
      <c r="AH11" s="487"/>
      <c r="AI11" s="487"/>
      <c r="AJ11" s="487"/>
      <c r="AK11" s="487"/>
      <c r="AL11" s="487"/>
      <c r="AM11" s="487"/>
      <c r="AN11" s="487"/>
      <c r="AO11" s="487"/>
      <c r="AP11" s="487"/>
      <c r="AQ11" s="487"/>
      <c r="AR11" s="487"/>
      <c r="AS11" s="487"/>
      <c r="AT11" s="487"/>
      <c r="AU11" s="487"/>
      <c r="AV11" s="487"/>
      <c r="AW11" s="487"/>
      <c r="AX11" s="487"/>
      <c r="AY11" s="487"/>
      <c r="AZ11" s="487"/>
      <c r="BA11" s="1894"/>
      <c r="BB11" s="1894"/>
      <c r="BC11" s="1894"/>
      <c r="BD11" s="1894"/>
      <c r="BE11" s="1894"/>
      <c r="BF11" s="1894"/>
      <c r="BG11" s="1894"/>
      <c r="BH11" s="1894"/>
      <c r="BI11" s="1894"/>
      <c r="BJ11" s="1894"/>
      <c r="BK11" s="1894"/>
      <c r="BL11" s="1894"/>
      <c r="BM11" s="1894"/>
      <c r="BN11" s="1894"/>
      <c r="BO11" s="1894"/>
      <c r="BP11" s="1894"/>
      <c r="BQ11" s="1894"/>
      <c r="BR11" s="1894"/>
      <c r="BS11" s="1894"/>
      <c r="BT11" s="1894"/>
      <c r="BU11" s="1894"/>
      <c r="BV11" s="1894"/>
      <c r="BW11" s="1894"/>
      <c r="BX11" s="1894"/>
      <c r="BY11" s="1894"/>
      <c r="BZ11" s="1894"/>
      <c r="CA11" s="1894"/>
      <c r="CB11" s="1894"/>
      <c r="CC11" s="1894"/>
      <c r="CD11" s="1894"/>
      <c r="CE11" s="1894"/>
      <c r="CF11" s="1894"/>
      <c r="CG11" s="1894"/>
      <c r="CH11" s="1894"/>
      <c r="CI11" s="1894"/>
      <c r="CJ11" s="1894"/>
      <c r="CK11" s="1894"/>
      <c r="CL11" s="1894"/>
      <c r="CM11" s="1894"/>
      <c r="CN11" s="1894"/>
      <c r="CO11" s="1894"/>
      <c r="CP11" s="1894"/>
      <c r="CQ11" s="1894"/>
      <c r="CR11" s="1894"/>
      <c r="CS11" s="1894"/>
      <c r="CT11" s="1894"/>
      <c r="CU11" s="1894"/>
      <c r="CV11" s="1894"/>
      <c r="CW11" s="1894"/>
      <c r="CX11" s="1894"/>
      <c r="CY11" s="1894"/>
      <c r="CZ11" s="1894"/>
      <c r="DA11" s="1894"/>
      <c r="DB11" s="1894"/>
      <c r="DC11" s="1894"/>
      <c r="DD11" s="1894"/>
      <c r="DE11" s="1894"/>
      <c r="DF11" s="1894"/>
      <c r="DG11" s="1894"/>
      <c r="DH11" s="1894"/>
      <c r="DI11" s="1894"/>
      <c r="DJ11" s="1894"/>
      <c r="DK11" s="1894"/>
      <c r="DL11" s="1894"/>
      <c r="DM11" s="1894"/>
      <c r="DN11" s="1894"/>
      <c r="DO11" s="1894"/>
      <c r="DP11" s="1894"/>
      <c r="DQ11" s="1894"/>
      <c r="DR11" s="1894"/>
      <c r="DS11" s="1894"/>
      <c r="DT11" s="1894"/>
      <c r="DU11" s="1894"/>
      <c r="DV11" s="1894"/>
      <c r="DW11" s="1894"/>
      <c r="DX11" s="1894"/>
      <c r="DY11" s="1894"/>
      <c r="DZ11" s="1894"/>
      <c r="EA11" s="1894"/>
      <c r="EB11" s="1894"/>
      <c r="EC11" s="1894"/>
      <c r="ED11" s="1894"/>
      <c r="EE11" s="1894"/>
      <c r="EF11" s="1894"/>
      <c r="EG11" s="1894"/>
      <c r="EH11" s="1894"/>
      <c r="EI11" s="1894"/>
      <c r="EJ11" s="1894"/>
      <c r="EK11" s="1894"/>
      <c r="EL11" s="1894"/>
      <c r="EM11" s="1894"/>
      <c r="EN11" s="1894"/>
      <c r="EO11" s="1894"/>
      <c r="EP11" s="1894"/>
      <c r="EQ11" s="1894"/>
      <c r="ER11" s="1894"/>
      <c r="ES11" s="1894"/>
      <c r="ET11" s="1894"/>
      <c r="EU11" s="1894"/>
      <c r="EV11" s="1894"/>
      <c r="EW11" s="1894"/>
      <c r="EX11" s="1894"/>
      <c r="EY11" s="1894"/>
      <c r="EZ11" s="1894"/>
      <c r="FA11" s="1894"/>
      <c r="FB11" s="1894"/>
      <c r="FC11" s="1894"/>
      <c r="FD11" s="1894"/>
      <c r="FE11" s="1894"/>
      <c r="FF11" s="1894"/>
      <c r="FG11" s="1894"/>
      <c r="FH11" s="1894"/>
      <c r="FI11" s="1894"/>
      <c r="FJ11" s="1894"/>
      <c r="FK11" s="1894"/>
      <c r="FL11" s="1894"/>
      <c r="FM11" s="1894"/>
      <c r="FN11" s="1894"/>
      <c r="FO11" s="1894"/>
      <c r="FP11" s="1894"/>
      <c r="FQ11" s="1894"/>
      <c r="FR11" s="1894"/>
      <c r="FS11" s="1894"/>
      <c r="FT11" s="1894"/>
      <c r="FU11" s="1894"/>
      <c r="FV11" s="1894"/>
      <c r="FW11" s="1894"/>
      <c r="FX11" s="1894"/>
      <c r="FY11" s="1894"/>
      <c r="FZ11" s="1894"/>
      <c r="GA11" s="1894"/>
      <c r="GB11" s="1894"/>
      <c r="GC11" s="1894"/>
      <c r="GD11" s="1894"/>
      <c r="GE11" s="1894"/>
      <c r="GF11" s="1894"/>
      <c r="GG11" s="1894"/>
      <c r="GH11" s="1894"/>
      <c r="GI11" s="1894"/>
      <c r="GJ11" s="1894"/>
      <c r="GK11" s="1894"/>
      <c r="GL11" s="1894"/>
      <c r="GM11" s="1894"/>
      <c r="GN11" s="1894"/>
      <c r="GO11" s="1894"/>
      <c r="GP11" s="1894"/>
      <c r="GQ11" s="1894"/>
      <c r="GR11" s="1894"/>
      <c r="GS11" s="1894"/>
      <c r="GT11" s="1894"/>
      <c r="GU11" s="1894"/>
      <c r="GV11" s="1894"/>
      <c r="GW11" s="1894"/>
      <c r="GX11" s="1894"/>
      <c r="GY11" s="1894"/>
      <c r="GZ11" s="1894"/>
      <c r="HA11" s="1894"/>
      <c r="HB11" s="1894"/>
      <c r="HC11" s="1894"/>
      <c r="HD11" s="1894"/>
      <c r="HE11" s="1894"/>
      <c r="HF11" s="1894"/>
      <c r="HG11" s="1894"/>
      <c r="HH11" s="1894"/>
      <c r="HI11" s="1894"/>
      <c r="HJ11" s="1894"/>
      <c r="HK11" s="1894"/>
      <c r="HL11" s="1894"/>
      <c r="HM11" s="1894"/>
      <c r="HN11" s="1894"/>
      <c r="HO11" s="1894"/>
      <c r="HP11" s="1894"/>
      <c r="HQ11" s="1894"/>
      <c r="HR11" s="1894"/>
      <c r="HS11" s="1894"/>
      <c r="HT11" s="1894"/>
      <c r="HU11" s="1894"/>
      <c r="HV11" s="1894"/>
      <c r="HW11" s="1894"/>
      <c r="HX11" s="1894"/>
      <c r="HY11" s="1894"/>
      <c r="HZ11" s="1894"/>
      <c r="IA11" s="1894"/>
      <c r="IB11" s="1894"/>
      <c r="IC11" s="1894"/>
      <c r="ID11" s="1894"/>
      <c r="IE11" s="1894"/>
      <c r="IF11" s="1894"/>
      <c r="IG11" s="1894"/>
      <c r="IH11" s="1894"/>
      <c r="II11" s="1894"/>
      <c r="IJ11" s="1894"/>
    </row>
    <row r="12" spans="1:244" s="1895" customFormat="1" ht="20.25" x14ac:dyDescent="0.4">
      <c r="A12" s="487"/>
      <c r="B12" s="487"/>
      <c r="C12" s="1896"/>
      <c r="D12" s="1908"/>
      <c r="E12" s="1909" t="s">
        <v>1410</v>
      </c>
      <c r="F12" s="1897"/>
      <c r="G12" s="487"/>
      <c r="H12" s="1933"/>
      <c r="I12" s="1897"/>
      <c r="J12" s="487"/>
      <c r="K12" s="487"/>
      <c r="L12" s="487"/>
      <c r="M12" s="487"/>
      <c r="N12" s="1896"/>
      <c r="O12" s="1896"/>
      <c r="P12" s="487"/>
      <c r="Q12" s="487"/>
      <c r="R12" s="487"/>
      <c r="S12" s="487"/>
      <c r="T12" s="487"/>
      <c r="U12" s="487"/>
      <c r="V12" s="487"/>
      <c r="W12" s="487"/>
      <c r="X12" s="487"/>
      <c r="Y12" s="487"/>
      <c r="Z12" s="487"/>
      <c r="AA12" s="487"/>
      <c r="AB12" s="487"/>
      <c r="AC12" s="487"/>
      <c r="AD12" s="487"/>
      <c r="AE12" s="487"/>
      <c r="AF12" s="487"/>
      <c r="AG12" s="487"/>
      <c r="AH12" s="487"/>
      <c r="AI12" s="487"/>
      <c r="AJ12" s="487"/>
      <c r="AK12" s="487"/>
      <c r="AL12" s="487"/>
      <c r="AM12" s="487"/>
      <c r="AN12" s="487"/>
      <c r="AO12" s="487"/>
      <c r="AP12" s="487"/>
      <c r="AQ12" s="487"/>
      <c r="AR12" s="487"/>
      <c r="AS12" s="487"/>
      <c r="AT12" s="487"/>
      <c r="AU12" s="487"/>
      <c r="AV12" s="487"/>
      <c r="AW12" s="487"/>
      <c r="AX12" s="487"/>
      <c r="AY12" s="487"/>
      <c r="AZ12" s="487"/>
      <c r="BA12" s="1894"/>
      <c r="BB12" s="1894"/>
      <c r="BC12" s="1894"/>
      <c r="BD12" s="1894"/>
      <c r="BE12" s="1894"/>
      <c r="BF12" s="1894"/>
      <c r="BG12" s="1894"/>
      <c r="BH12" s="1894"/>
      <c r="BI12" s="1894"/>
      <c r="BJ12" s="1894"/>
      <c r="BK12" s="1894"/>
      <c r="BL12" s="1894"/>
      <c r="BM12" s="1894"/>
      <c r="BN12" s="1894"/>
      <c r="BO12" s="1894"/>
      <c r="BP12" s="1894"/>
      <c r="BQ12" s="1894"/>
      <c r="BR12" s="1894"/>
      <c r="BS12" s="1894"/>
      <c r="BT12" s="1894"/>
      <c r="BU12" s="1894"/>
      <c r="BV12" s="1894"/>
      <c r="BW12" s="1894"/>
      <c r="BX12" s="1894"/>
      <c r="BY12" s="1894"/>
      <c r="BZ12" s="1894"/>
      <c r="CA12" s="1894"/>
      <c r="CB12" s="1894"/>
      <c r="CC12" s="1894"/>
      <c r="CD12" s="1894"/>
      <c r="CE12" s="1894"/>
      <c r="CF12" s="1894"/>
      <c r="CG12" s="1894"/>
      <c r="CH12" s="1894"/>
      <c r="CI12" s="1894"/>
      <c r="CJ12" s="1894"/>
      <c r="CK12" s="1894"/>
      <c r="CL12" s="1894"/>
      <c r="CM12" s="1894"/>
      <c r="CN12" s="1894"/>
      <c r="CO12" s="1894"/>
      <c r="CP12" s="1894"/>
      <c r="CQ12" s="1894"/>
      <c r="CR12" s="1894"/>
      <c r="CS12" s="1894"/>
      <c r="CT12" s="1894"/>
      <c r="CU12" s="1894"/>
      <c r="CV12" s="1894"/>
      <c r="CW12" s="1894"/>
      <c r="CX12" s="1894"/>
      <c r="CY12" s="1894"/>
      <c r="CZ12" s="1894"/>
      <c r="DA12" s="1894"/>
      <c r="DB12" s="1894"/>
      <c r="DC12" s="1894"/>
      <c r="DD12" s="1894"/>
      <c r="DE12" s="1894"/>
      <c r="DF12" s="1894"/>
      <c r="DG12" s="1894"/>
      <c r="DH12" s="1894"/>
      <c r="DI12" s="1894"/>
      <c r="DJ12" s="1894"/>
      <c r="DK12" s="1894"/>
      <c r="DL12" s="1894"/>
      <c r="DM12" s="1894"/>
      <c r="DN12" s="1894"/>
      <c r="DO12" s="1894"/>
      <c r="DP12" s="1894"/>
      <c r="DQ12" s="1894"/>
      <c r="DR12" s="1894"/>
      <c r="DS12" s="1894"/>
      <c r="DT12" s="1894"/>
      <c r="DU12" s="1894"/>
      <c r="DV12" s="1894"/>
      <c r="DW12" s="1894"/>
      <c r="DX12" s="1894"/>
      <c r="DY12" s="1894"/>
      <c r="DZ12" s="1894"/>
      <c r="EA12" s="1894"/>
      <c r="EB12" s="1894"/>
      <c r="EC12" s="1894"/>
      <c r="ED12" s="1894"/>
      <c r="EE12" s="1894"/>
      <c r="EF12" s="1894"/>
      <c r="EG12" s="1894"/>
      <c r="EH12" s="1894"/>
      <c r="EI12" s="1894"/>
      <c r="EJ12" s="1894"/>
      <c r="EK12" s="1894"/>
      <c r="EL12" s="1894"/>
      <c r="EM12" s="1894"/>
      <c r="EN12" s="1894"/>
      <c r="EO12" s="1894"/>
      <c r="EP12" s="1894"/>
      <c r="EQ12" s="1894"/>
      <c r="ER12" s="1894"/>
      <c r="ES12" s="1894"/>
      <c r="ET12" s="1894"/>
      <c r="EU12" s="1894"/>
      <c r="EV12" s="1894"/>
      <c r="EW12" s="1894"/>
      <c r="EX12" s="1894"/>
      <c r="EY12" s="1894"/>
      <c r="EZ12" s="1894"/>
      <c r="FA12" s="1894"/>
      <c r="FB12" s="1894"/>
      <c r="FC12" s="1894"/>
      <c r="FD12" s="1894"/>
      <c r="FE12" s="1894"/>
      <c r="FF12" s="1894"/>
      <c r="FG12" s="1894"/>
      <c r="FH12" s="1894"/>
      <c r="FI12" s="1894"/>
      <c r="FJ12" s="1894"/>
      <c r="FK12" s="1894"/>
      <c r="FL12" s="1894"/>
      <c r="FM12" s="1894"/>
      <c r="FN12" s="1894"/>
      <c r="FO12" s="1894"/>
      <c r="FP12" s="1894"/>
      <c r="FQ12" s="1894"/>
      <c r="FR12" s="1894"/>
      <c r="FS12" s="1894"/>
      <c r="FT12" s="1894"/>
      <c r="FU12" s="1894"/>
      <c r="FV12" s="1894"/>
      <c r="FW12" s="1894"/>
      <c r="FX12" s="1894"/>
      <c r="FY12" s="1894"/>
      <c r="FZ12" s="1894"/>
      <c r="GA12" s="1894"/>
      <c r="GB12" s="1894"/>
      <c r="GC12" s="1894"/>
      <c r="GD12" s="1894"/>
      <c r="GE12" s="1894"/>
      <c r="GF12" s="1894"/>
      <c r="GG12" s="1894"/>
      <c r="GH12" s="1894"/>
      <c r="GI12" s="1894"/>
      <c r="GJ12" s="1894"/>
      <c r="GK12" s="1894"/>
      <c r="GL12" s="1894"/>
      <c r="GM12" s="1894"/>
      <c r="GN12" s="1894"/>
      <c r="GO12" s="1894"/>
      <c r="GP12" s="1894"/>
      <c r="GQ12" s="1894"/>
      <c r="GR12" s="1894"/>
      <c r="GS12" s="1894"/>
      <c r="GT12" s="1894"/>
      <c r="GU12" s="1894"/>
      <c r="GV12" s="1894"/>
      <c r="GW12" s="1894"/>
      <c r="GX12" s="1894"/>
      <c r="GY12" s="1894"/>
      <c r="GZ12" s="1894"/>
      <c r="HA12" s="1894"/>
      <c r="HB12" s="1894"/>
      <c r="HC12" s="1894"/>
      <c r="HD12" s="1894"/>
      <c r="HE12" s="1894"/>
      <c r="HF12" s="1894"/>
      <c r="HG12" s="1894"/>
      <c r="HH12" s="1894"/>
      <c r="HI12" s="1894"/>
      <c r="HJ12" s="1894"/>
      <c r="HK12" s="1894"/>
      <c r="HL12" s="1894"/>
      <c r="HM12" s="1894"/>
      <c r="HN12" s="1894"/>
      <c r="HO12" s="1894"/>
      <c r="HP12" s="1894"/>
      <c r="HQ12" s="1894"/>
      <c r="HR12" s="1894"/>
      <c r="HS12" s="1894"/>
      <c r="HT12" s="1894"/>
      <c r="HU12" s="1894"/>
      <c r="HV12" s="1894"/>
      <c r="HW12" s="1894"/>
      <c r="HX12" s="1894"/>
      <c r="HY12" s="1894"/>
      <c r="HZ12" s="1894"/>
      <c r="IA12" s="1894"/>
      <c r="IB12" s="1894"/>
      <c r="IC12" s="1894"/>
      <c r="ID12" s="1894"/>
      <c r="IE12" s="1894"/>
      <c r="IF12" s="1894"/>
      <c r="IG12" s="1894"/>
      <c r="IH12" s="1894"/>
      <c r="II12" s="1894"/>
      <c r="IJ12" s="1894"/>
    </row>
    <row r="13" spans="1:244" s="1895" customFormat="1" ht="18.75" x14ac:dyDescent="0.3">
      <c r="A13" s="487"/>
      <c r="B13" s="487"/>
      <c r="C13" s="1896"/>
      <c r="D13" s="1908"/>
      <c r="E13" s="1909"/>
      <c r="F13" s="1897"/>
      <c r="G13" s="487"/>
      <c r="H13" s="1934"/>
      <c r="I13" s="1910"/>
      <c r="J13" s="1976">
        <f>3.25+6.56*J6+3.26*J7+6.72*J8+1.05*J9</f>
        <v>7.912134137698863</v>
      </c>
      <c r="K13" s="1976">
        <f t="shared" ref="K13:L13" si="0">3.25+6.56*K6+3.26*K7+6.72*K8+1.05*K9</f>
        <v>8.0664812363450231</v>
      </c>
      <c r="L13" s="1976">
        <f t="shared" si="0"/>
        <v>7.8935107837815011</v>
      </c>
      <c r="M13" s="487"/>
      <c r="N13" s="1896"/>
      <c r="O13" s="1896"/>
      <c r="P13" s="487"/>
      <c r="Q13" s="487"/>
      <c r="R13" s="487"/>
      <c r="S13" s="487"/>
      <c r="T13" s="487"/>
      <c r="U13" s="487"/>
      <c r="V13" s="487"/>
      <c r="W13" s="487"/>
      <c r="X13" s="487"/>
      <c r="Y13" s="487"/>
      <c r="Z13" s="487"/>
      <c r="AA13" s="487"/>
      <c r="AB13" s="487"/>
      <c r="AC13" s="487"/>
      <c r="AD13" s="487"/>
      <c r="AE13" s="487"/>
      <c r="AF13" s="487"/>
      <c r="AG13" s="487"/>
      <c r="AH13" s="487"/>
      <c r="AI13" s="487"/>
      <c r="AJ13" s="487"/>
      <c r="AK13" s="487"/>
      <c r="AL13" s="487"/>
      <c r="AM13" s="487"/>
      <c r="AN13" s="487"/>
      <c r="AO13" s="487"/>
      <c r="AP13" s="487"/>
      <c r="AQ13" s="487"/>
      <c r="AR13" s="487"/>
      <c r="AS13" s="487"/>
      <c r="AT13" s="487"/>
      <c r="AU13" s="487"/>
      <c r="AV13" s="487"/>
      <c r="AW13" s="487"/>
      <c r="AX13" s="487"/>
      <c r="AY13" s="487"/>
      <c r="AZ13" s="487"/>
      <c r="BA13" s="1894"/>
      <c r="BB13" s="1894"/>
      <c r="BC13" s="1894"/>
      <c r="BD13" s="1894"/>
      <c r="BE13" s="1894"/>
      <c r="BF13" s="1894"/>
      <c r="BG13" s="1894"/>
      <c r="BH13" s="1894"/>
      <c r="BI13" s="1894"/>
      <c r="BJ13" s="1894"/>
      <c r="BK13" s="1894"/>
      <c r="BL13" s="1894"/>
      <c r="BM13" s="1894"/>
      <c r="BN13" s="1894"/>
      <c r="BO13" s="1894"/>
      <c r="BP13" s="1894"/>
      <c r="BQ13" s="1894"/>
      <c r="BR13" s="1894"/>
      <c r="BS13" s="1894"/>
      <c r="BT13" s="1894"/>
      <c r="BU13" s="1894"/>
      <c r="BV13" s="1894"/>
      <c r="BW13" s="1894"/>
      <c r="BX13" s="1894"/>
      <c r="BY13" s="1894"/>
      <c r="BZ13" s="1894"/>
      <c r="CA13" s="1894"/>
      <c r="CB13" s="1894"/>
      <c r="CC13" s="1894"/>
      <c r="CD13" s="1894"/>
      <c r="CE13" s="1894"/>
      <c r="CF13" s="1894"/>
      <c r="CG13" s="1894"/>
      <c r="CH13" s="1894"/>
      <c r="CI13" s="1894"/>
      <c r="CJ13" s="1894"/>
      <c r="CK13" s="1894"/>
      <c r="CL13" s="1894"/>
      <c r="CM13" s="1894"/>
      <c r="CN13" s="1894"/>
      <c r="CO13" s="1894"/>
      <c r="CP13" s="1894"/>
      <c r="CQ13" s="1894"/>
      <c r="CR13" s="1894"/>
      <c r="CS13" s="1894"/>
      <c r="CT13" s="1894"/>
      <c r="CU13" s="1894"/>
      <c r="CV13" s="1894"/>
      <c r="CW13" s="1894"/>
      <c r="CX13" s="1894"/>
      <c r="CY13" s="1894"/>
      <c r="CZ13" s="1894"/>
      <c r="DA13" s="1894"/>
      <c r="DB13" s="1894"/>
      <c r="DC13" s="1894"/>
      <c r="DD13" s="1894"/>
      <c r="DE13" s="1894"/>
      <c r="DF13" s="1894"/>
      <c r="DG13" s="1894"/>
      <c r="DH13" s="1894"/>
      <c r="DI13" s="1894"/>
      <c r="DJ13" s="1894"/>
      <c r="DK13" s="1894"/>
      <c r="DL13" s="1894"/>
      <c r="DM13" s="1894"/>
      <c r="DN13" s="1894"/>
      <c r="DO13" s="1894"/>
      <c r="DP13" s="1894"/>
      <c r="DQ13" s="1894"/>
      <c r="DR13" s="1894"/>
      <c r="DS13" s="1894"/>
      <c r="DT13" s="1894"/>
      <c r="DU13" s="1894"/>
      <c r="DV13" s="1894"/>
      <c r="DW13" s="1894"/>
      <c r="DX13" s="1894"/>
      <c r="DY13" s="1894"/>
      <c r="DZ13" s="1894"/>
      <c r="EA13" s="1894"/>
      <c r="EB13" s="1894"/>
      <c r="EC13" s="1894"/>
      <c r="ED13" s="1894"/>
      <c r="EE13" s="1894"/>
      <c r="EF13" s="1894"/>
      <c r="EG13" s="1894"/>
      <c r="EH13" s="1894"/>
      <c r="EI13" s="1894"/>
      <c r="EJ13" s="1894"/>
      <c r="EK13" s="1894"/>
      <c r="EL13" s="1894"/>
      <c r="EM13" s="1894"/>
      <c r="EN13" s="1894"/>
      <c r="EO13" s="1894"/>
      <c r="EP13" s="1894"/>
      <c r="EQ13" s="1894"/>
      <c r="ER13" s="1894"/>
      <c r="ES13" s="1894"/>
      <c r="ET13" s="1894"/>
      <c r="EU13" s="1894"/>
      <c r="EV13" s="1894"/>
      <c r="EW13" s="1894"/>
      <c r="EX13" s="1894"/>
      <c r="EY13" s="1894"/>
      <c r="EZ13" s="1894"/>
      <c r="FA13" s="1894"/>
      <c r="FB13" s="1894"/>
      <c r="FC13" s="1894"/>
      <c r="FD13" s="1894"/>
      <c r="FE13" s="1894"/>
      <c r="FF13" s="1894"/>
      <c r="FG13" s="1894"/>
      <c r="FH13" s="1894"/>
      <c r="FI13" s="1894"/>
      <c r="FJ13" s="1894"/>
      <c r="FK13" s="1894"/>
      <c r="FL13" s="1894"/>
      <c r="FM13" s="1894"/>
      <c r="FN13" s="1894"/>
      <c r="FO13" s="1894"/>
      <c r="FP13" s="1894"/>
      <c r="FQ13" s="1894"/>
      <c r="FR13" s="1894"/>
      <c r="FS13" s="1894"/>
      <c r="FT13" s="1894"/>
      <c r="FU13" s="1894"/>
      <c r="FV13" s="1894"/>
      <c r="FW13" s="1894"/>
      <c r="FX13" s="1894"/>
      <c r="FY13" s="1894"/>
      <c r="FZ13" s="1894"/>
      <c r="GA13" s="1894"/>
      <c r="GB13" s="1894"/>
      <c r="GC13" s="1894"/>
      <c r="GD13" s="1894"/>
      <c r="GE13" s="1894"/>
      <c r="GF13" s="1894"/>
      <c r="GG13" s="1894"/>
      <c r="GH13" s="1894"/>
      <c r="GI13" s="1894"/>
      <c r="GJ13" s="1894"/>
      <c r="GK13" s="1894"/>
      <c r="GL13" s="1894"/>
      <c r="GM13" s="1894"/>
      <c r="GN13" s="1894"/>
      <c r="GO13" s="1894"/>
      <c r="GP13" s="1894"/>
      <c r="GQ13" s="1894"/>
      <c r="GR13" s="1894"/>
      <c r="GS13" s="1894"/>
      <c r="GT13" s="1894"/>
      <c r="GU13" s="1894"/>
      <c r="GV13" s="1894"/>
      <c r="GW13" s="1894"/>
      <c r="GX13" s="1894"/>
      <c r="GY13" s="1894"/>
      <c r="GZ13" s="1894"/>
      <c r="HA13" s="1894"/>
      <c r="HB13" s="1894"/>
      <c r="HC13" s="1894"/>
      <c r="HD13" s="1894"/>
      <c r="HE13" s="1894"/>
      <c r="HF13" s="1894"/>
      <c r="HG13" s="1894"/>
      <c r="HH13" s="1894"/>
      <c r="HI13" s="1894"/>
      <c r="HJ13" s="1894"/>
      <c r="HK13" s="1894"/>
      <c r="HL13" s="1894"/>
      <c r="HM13" s="1894"/>
      <c r="HN13" s="1894"/>
      <c r="HO13" s="1894"/>
      <c r="HP13" s="1894"/>
      <c r="HQ13" s="1894"/>
      <c r="HR13" s="1894"/>
      <c r="HS13" s="1894"/>
      <c r="HT13" s="1894"/>
      <c r="HU13" s="1894"/>
      <c r="HV13" s="1894"/>
      <c r="HW13" s="1894"/>
      <c r="HX13" s="1894"/>
      <c r="HY13" s="1894"/>
      <c r="HZ13" s="1894"/>
      <c r="IA13" s="1894"/>
      <c r="IB13" s="1894"/>
      <c r="IC13" s="1894"/>
      <c r="ID13" s="1894"/>
      <c r="IE13" s="1894"/>
      <c r="IF13" s="1894"/>
      <c r="IG13" s="1894"/>
      <c r="IH13" s="1894"/>
      <c r="II13" s="1894"/>
      <c r="IJ13" s="1894"/>
    </row>
    <row r="14" spans="1:244" s="1895" customFormat="1" x14ac:dyDescent="0.25">
      <c r="A14" s="487"/>
      <c r="B14" s="487"/>
      <c r="C14" s="1896"/>
      <c r="D14" s="1908"/>
      <c r="E14" s="1909"/>
      <c r="F14" s="1897"/>
      <c r="G14" s="487"/>
      <c r="H14" s="1935"/>
      <c r="I14" s="1911"/>
      <c r="J14" s="1977" t="str">
        <f>IF(J13&gt;2.6,"Güvenli Alanda",IF(J13&lt;1.1,"İflas Alanında","Nötr, Gri Alanda"))</f>
        <v>Güvenli Alanda</v>
      </c>
      <c r="K14" s="1977" t="str">
        <f t="shared" ref="K14:L14" si="1">IF(K13&gt;2.6,"Güvenli Alanda",IF(K13&lt;1.1,"İflas Alanında","Nötr, Gri Alanda"))</f>
        <v>Güvenli Alanda</v>
      </c>
      <c r="L14" s="1977" t="str">
        <f t="shared" si="1"/>
        <v>Güvenli Alanda</v>
      </c>
      <c r="M14" s="487"/>
      <c r="N14" s="1896"/>
      <c r="O14" s="1896"/>
      <c r="P14" s="487"/>
      <c r="Q14" s="487"/>
      <c r="R14" s="487"/>
      <c r="S14" s="487"/>
      <c r="T14" s="487"/>
      <c r="U14" s="487"/>
      <c r="V14" s="487"/>
      <c r="W14" s="487"/>
      <c r="X14" s="487"/>
      <c r="Y14" s="487"/>
      <c r="Z14" s="487"/>
      <c r="AA14" s="487"/>
      <c r="AB14" s="487"/>
      <c r="AC14" s="487"/>
      <c r="AD14" s="487"/>
      <c r="AE14" s="487"/>
      <c r="AF14" s="487"/>
      <c r="AG14" s="487"/>
      <c r="AH14" s="487"/>
      <c r="AI14" s="487"/>
      <c r="AJ14" s="487"/>
      <c r="AK14" s="487"/>
      <c r="AL14" s="487"/>
      <c r="AM14" s="487"/>
      <c r="AN14" s="487"/>
      <c r="AO14" s="487"/>
      <c r="AP14" s="487"/>
      <c r="AQ14" s="487"/>
      <c r="AR14" s="487"/>
      <c r="AS14" s="487"/>
      <c r="AT14" s="487"/>
      <c r="AU14" s="487"/>
      <c r="AV14" s="487"/>
      <c r="AW14" s="487"/>
      <c r="AX14" s="487"/>
      <c r="AY14" s="487"/>
      <c r="AZ14" s="487"/>
      <c r="BA14" s="1894"/>
      <c r="BB14" s="1894"/>
      <c r="BC14" s="1894"/>
      <c r="BD14" s="1894"/>
      <c r="BE14" s="1894"/>
      <c r="BF14" s="1894"/>
      <c r="BG14" s="1894"/>
      <c r="BH14" s="1894"/>
      <c r="BI14" s="1894"/>
      <c r="BJ14" s="1894"/>
      <c r="BK14" s="1894"/>
      <c r="BL14" s="1894"/>
      <c r="BM14" s="1894"/>
      <c r="BN14" s="1894"/>
      <c r="BO14" s="1894"/>
      <c r="BP14" s="1894"/>
      <c r="BQ14" s="1894"/>
      <c r="BR14" s="1894"/>
      <c r="BS14" s="1894"/>
      <c r="BT14" s="1894"/>
      <c r="BU14" s="1894"/>
      <c r="BV14" s="1894"/>
      <c r="BW14" s="1894"/>
      <c r="BX14" s="1894"/>
      <c r="BY14" s="1894"/>
      <c r="BZ14" s="1894"/>
      <c r="CA14" s="1894"/>
      <c r="CB14" s="1894"/>
      <c r="CC14" s="1894"/>
      <c r="CD14" s="1894"/>
      <c r="CE14" s="1894"/>
      <c r="CF14" s="1894"/>
      <c r="CG14" s="1894"/>
      <c r="CH14" s="1894"/>
      <c r="CI14" s="1894"/>
      <c r="CJ14" s="1894"/>
      <c r="CK14" s="1894"/>
      <c r="CL14" s="1894"/>
      <c r="CM14" s="1894"/>
      <c r="CN14" s="1894"/>
      <c r="CO14" s="1894"/>
      <c r="CP14" s="1894"/>
      <c r="CQ14" s="1894"/>
      <c r="CR14" s="1894"/>
      <c r="CS14" s="1894"/>
      <c r="CT14" s="1894"/>
      <c r="CU14" s="1894"/>
      <c r="CV14" s="1894"/>
      <c r="CW14" s="1894"/>
      <c r="CX14" s="1894"/>
      <c r="CY14" s="1894"/>
      <c r="CZ14" s="1894"/>
      <c r="DA14" s="1894"/>
      <c r="DB14" s="1894"/>
      <c r="DC14" s="1894"/>
      <c r="DD14" s="1894"/>
      <c r="DE14" s="1894"/>
      <c r="DF14" s="1894"/>
      <c r="DG14" s="1894"/>
      <c r="DH14" s="1894"/>
      <c r="DI14" s="1894"/>
      <c r="DJ14" s="1894"/>
      <c r="DK14" s="1894"/>
      <c r="DL14" s="1894"/>
      <c r="DM14" s="1894"/>
      <c r="DN14" s="1894"/>
      <c r="DO14" s="1894"/>
      <c r="DP14" s="1894"/>
      <c r="DQ14" s="1894"/>
      <c r="DR14" s="1894"/>
      <c r="DS14" s="1894"/>
      <c r="DT14" s="1894"/>
      <c r="DU14" s="1894"/>
      <c r="DV14" s="1894"/>
      <c r="DW14" s="1894"/>
      <c r="DX14" s="1894"/>
      <c r="DY14" s="1894"/>
      <c r="DZ14" s="1894"/>
      <c r="EA14" s="1894"/>
      <c r="EB14" s="1894"/>
      <c r="EC14" s="1894"/>
      <c r="ED14" s="1894"/>
      <c r="EE14" s="1894"/>
      <c r="EF14" s="1894"/>
      <c r="EG14" s="1894"/>
      <c r="EH14" s="1894"/>
      <c r="EI14" s="1894"/>
      <c r="EJ14" s="1894"/>
      <c r="EK14" s="1894"/>
      <c r="EL14" s="1894"/>
      <c r="EM14" s="1894"/>
      <c r="EN14" s="1894"/>
      <c r="EO14" s="1894"/>
      <c r="EP14" s="1894"/>
      <c r="EQ14" s="1894"/>
      <c r="ER14" s="1894"/>
      <c r="ES14" s="1894"/>
      <c r="ET14" s="1894"/>
      <c r="EU14" s="1894"/>
      <c r="EV14" s="1894"/>
      <c r="EW14" s="1894"/>
      <c r="EX14" s="1894"/>
      <c r="EY14" s="1894"/>
      <c r="EZ14" s="1894"/>
      <c r="FA14" s="1894"/>
      <c r="FB14" s="1894"/>
      <c r="FC14" s="1894"/>
      <c r="FD14" s="1894"/>
      <c r="FE14" s="1894"/>
      <c r="FF14" s="1894"/>
      <c r="FG14" s="1894"/>
      <c r="FH14" s="1894"/>
      <c r="FI14" s="1894"/>
      <c r="FJ14" s="1894"/>
      <c r="FK14" s="1894"/>
      <c r="FL14" s="1894"/>
      <c r="FM14" s="1894"/>
      <c r="FN14" s="1894"/>
      <c r="FO14" s="1894"/>
      <c r="FP14" s="1894"/>
      <c r="FQ14" s="1894"/>
      <c r="FR14" s="1894"/>
      <c r="FS14" s="1894"/>
      <c r="FT14" s="1894"/>
      <c r="FU14" s="1894"/>
      <c r="FV14" s="1894"/>
      <c r="FW14" s="1894"/>
      <c r="FX14" s="1894"/>
      <c r="FY14" s="1894"/>
      <c r="FZ14" s="1894"/>
      <c r="GA14" s="1894"/>
      <c r="GB14" s="1894"/>
      <c r="GC14" s="1894"/>
      <c r="GD14" s="1894"/>
      <c r="GE14" s="1894"/>
      <c r="GF14" s="1894"/>
      <c r="GG14" s="1894"/>
      <c r="GH14" s="1894"/>
      <c r="GI14" s="1894"/>
      <c r="GJ14" s="1894"/>
      <c r="GK14" s="1894"/>
      <c r="GL14" s="1894"/>
      <c r="GM14" s="1894"/>
      <c r="GN14" s="1894"/>
      <c r="GO14" s="1894"/>
      <c r="GP14" s="1894"/>
      <c r="GQ14" s="1894"/>
      <c r="GR14" s="1894"/>
      <c r="GS14" s="1894"/>
      <c r="GT14" s="1894"/>
      <c r="GU14" s="1894"/>
      <c r="GV14" s="1894"/>
      <c r="GW14" s="1894"/>
      <c r="GX14" s="1894"/>
      <c r="GY14" s="1894"/>
      <c r="GZ14" s="1894"/>
      <c r="HA14" s="1894"/>
      <c r="HB14" s="1894"/>
      <c r="HC14" s="1894"/>
      <c r="HD14" s="1894"/>
      <c r="HE14" s="1894"/>
      <c r="HF14" s="1894"/>
      <c r="HG14" s="1894"/>
      <c r="HH14" s="1894"/>
      <c r="HI14" s="1894"/>
      <c r="HJ14" s="1894"/>
      <c r="HK14" s="1894"/>
      <c r="HL14" s="1894"/>
      <c r="HM14" s="1894"/>
      <c r="HN14" s="1894"/>
      <c r="HO14" s="1894"/>
      <c r="HP14" s="1894"/>
      <c r="HQ14" s="1894"/>
      <c r="HR14" s="1894"/>
      <c r="HS14" s="1894"/>
      <c r="HT14" s="1894"/>
      <c r="HU14" s="1894"/>
      <c r="HV14" s="1894"/>
      <c r="HW14" s="1894"/>
      <c r="HX14" s="1894"/>
      <c r="HY14" s="1894"/>
      <c r="HZ14" s="1894"/>
      <c r="IA14" s="1894"/>
      <c r="IB14" s="1894"/>
      <c r="IC14" s="1894"/>
      <c r="ID14" s="1894"/>
      <c r="IE14" s="1894"/>
      <c r="IF14" s="1894"/>
      <c r="IG14" s="1894"/>
      <c r="IH14" s="1894"/>
      <c r="II14" s="1894"/>
      <c r="IJ14" s="1894"/>
    </row>
    <row r="15" spans="1:244" s="1895" customFormat="1" ht="16.899999999999999" customHeight="1" x14ac:dyDescent="0.3">
      <c r="A15" s="487"/>
      <c r="B15" s="487"/>
      <c r="C15" s="1917" t="s">
        <v>1394</v>
      </c>
      <c r="D15" s="1913"/>
      <c r="E15" s="1913"/>
      <c r="F15" s="1913"/>
      <c r="G15" s="1913"/>
      <c r="H15" s="1936"/>
      <c r="I15" s="1914"/>
      <c r="J15" s="1927"/>
      <c r="K15" s="1927"/>
      <c r="L15" s="1927"/>
      <c r="M15" s="1896"/>
      <c r="N15" s="1896"/>
      <c r="O15" s="1896"/>
      <c r="P15" s="1896"/>
      <c r="Q15" s="487"/>
      <c r="R15" s="487"/>
      <c r="S15" s="487"/>
      <c r="T15" s="487"/>
      <c r="U15" s="487"/>
      <c r="V15" s="487"/>
      <c r="W15" s="487"/>
      <c r="X15" s="487"/>
      <c r="Y15" s="487"/>
      <c r="Z15" s="487"/>
      <c r="AA15" s="487"/>
      <c r="AB15" s="487"/>
      <c r="AC15" s="487"/>
      <c r="AD15" s="487"/>
      <c r="AE15" s="487"/>
      <c r="AF15" s="487"/>
      <c r="AG15" s="487"/>
      <c r="AH15" s="487"/>
      <c r="AI15" s="487"/>
      <c r="AJ15" s="487"/>
      <c r="AK15" s="487"/>
      <c r="AL15" s="487"/>
      <c r="AM15" s="487"/>
      <c r="AN15" s="487"/>
      <c r="AO15" s="487"/>
      <c r="AP15" s="487"/>
      <c r="AQ15" s="487"/>
      <c r="AR15" s="487"/>
      <c r="AS15" s="487"/>
      <c r="AT15" s="487"/>
      <c r="AU15" s="487"/>
      <c r="AV15" s="487"/>
      <c r="AW15" s="487"/>
      <c r="AX15" s="487"/>
      <c r="AY15" s="487"/>
      <c r="AZ15" s="487"/>
      <c r="BA15" s="1894"/>
      <c r="BB15" s="1894"/>
      <c r="BC15" s="1894"/>
      <c r="BD15" s="1894"/>
      <c r="BE15" s="1894"/>
      <c r="BF15" s="1894"/>
      <c r="BG15" s="1894"/>
      <c r="BH15" s="1894"/>
      <c r="BI15" s="1894"/>
      <c r="BJ15" s="1894"/>
      <c r="BK15" s="1894"/>
      <c r="BL15" s="1894"/>
      <c r="BM15" s="1894"/>
      <c r="BN15" s="1894"/>
      <c r="BO15" s="1894"/>
      <c r="BP15" s="1894"/>
      <c r="BQ15" s="1894"/>
      <c r="BR15" s="1894"/>
      <c r="BS15" s="1894"/>
      <c r="BT15" s="1894"/>
      <c r="BU15" s="1894"/>
      <c r="BV15" s="1894"/>
      <c r="BW15" s="1894"/>
      <c r="BX15" s="1894"/>
      <c r="BY15" s="1894"/>
      <c r="BZ15" s="1894"/>
      <c r="CA15" s="1894"/>
      <c r="CB15" s="1894"/>
      <c r="CC15" s="1894"/>
      <c r="CD15" s="1894"/>
      <c r="CE15" s="1894"/>
      <c r="CF15" s="1894"/>
      <c r="CG15" s="1894"/>
      <c r="CH15" s="1894"/>
      <c r="CI15" s="1894"/>
      <c r="CJ15" s="1894"/>
      <c r="CK15" s="1894"/>
      <c r="CL15" s="1894"/>
      <c r="CM15" s="1894"/>
      <c r="CN15" s="1894"/>
      <c r="CO15" s="1894"/>
      <c r="CP15" s="1894"/>
      <c r="CQ15" s="1894"/>
      <c r="CR15" s="1894"/>
      <c r="CS15" s="1894"/>
      <c r="CT15" s="1894"/>
      <c r="CU15" s="1894"/>
      <c r="CV15" s="1894"/>
      <c r="CW15" s="1894"/>
      <c r="CX15" s="1894"/>
      <c r="CY15" s="1894"/>
      <c r="CZ15" s="1894"/>
      <c r="DA15" s="1894"/>
      <c r="DB15" s="1894"/>
      <c r="DC15" s="1894"/>
      <c r="DD15" s="1894"/>
      <c r="DE15" s="1894"/>
      <c r="DF15" s="1894"/>
      <c r="DG15" s="1894"/>
      <c r="DH15" s="1894"/>
      <c r="DI15" s="1894"/>
      <c r="DJ15" s="1894"/>
      <c r="DK15" s="1894"/>
      <c r="DL15" s="1894"/>
      <c r="DM15" s="1894"/>
      <c r="DN15" s="1894"/>
      <c r="DO15" s="1894"/>
      <c r="DP15" s="1894"/>
      <c r="DQ15" s="1894"/>
      <c r="DR15" s="1894"/>
      <c r="DS15" s="1894"/>
      <c r="DT15" s="1894"/>
      <c r="DU15" s="1894"/>
      <c r="DV15" s="1894"/>
      <c r="DW15" s="1894"/>
      <c r="DX15" s="1894"/>
      <c r="DY15" s="1894"/>
      <c r="DZ15" s="1894"/>
      <c r="EA15" s="1894"/>
      <c r="EB15" s="1894"/>
      <c r="EC15" s="1894"/>
      <c r="ED15" s="1894"/>
      <c r="EE15" s="1894"/>
      <c r="EF15" s="1894"/>
      <c r="EG15" s="1894"/>
      <c r="EH15" s="1894"/>
      <c r="EI15" s="1894"/>
      <c r="EJ15" s="1894"/>
      <c r="EK15" s="1894"/>
      <c r="EL15" s="1894"/>
      <c r="EM15" s="1894"/>
      <c r="EN15" s="1894"/>
      <c r="EO15" s="1894"/>
      <c r="EP15" s="1894"/>
      <c r="EQ15" s="1894"/>
      <c r="ER15" s="1894"/>
      <c r="ES15" s="1894"/>
      <c r="ET15" s="1894"/>
      <c r="EU15" s="1894"/>
      <c r="EV15" s="1894"/>
      <c r="EW15" s="1894"/>
      <c r="EX15" s="1894"/>
      <c r="EY15" s="1894"/>
      <c r="EZ15" s="1894"/>
      <c r="FA15" s="1894"/>
      <c r="FB15" s="1894"/>
      <c r="FC15" s="1894"/>
      <c r="FD15" s="1894"/>
      <c r="FE15" s="1894"/>
      <c r="FF15" s="1894"/>
      <c r="FG15" s="1894"/>
      <c r="FH15" s="1894"/>
      <c r="FI15" s="1894"/>
      <c r="FJ15" s="1894"/>
      <c r="FK15" s="1894"/>
      <c r="FL15" s="1894"/>
      <c r="FM15" s="1894"/>
      <c r="FN15" s="1894"/>
      <c r="FO15" s="1894"/>
      <c r="FP15" s="1894"/>
      <c r="FQ15" s="1894"/>
      <c r="FR15" s="1894"/>
      <c r="FS15" s="1894"/>
      <c r="FT15" s="1894"/>
      <c r="FU15" s="1894"/>
      <c r="FV15" s="1894"/>
      <c r="FW15" s="1894"/>
      <c r="FX15" s="1894"/>
      <c r="FY15" s="1894"/>
      <c r="FZ15" s="1894"/>
      <c r="GA15" s="1894"/>
      <c r="GB15" s="1894"/>
      <c r="GC15" s="1894"/>
      <c r="GD15" s="1894"/>
      <c r="GE15" s="1894"/>
      <c r="GF15" s="1894"/>
      <c r="GG15" s="1894"/>
      <c r="GH15" s="1894"/>
      <c r="GI15" s="1894"/>
      <c r="GJ15" s="1894"/>
      <c r="GK15" s="1894"/>
      <c r="GL15" s="1894"/>
      <c r="GM15" s="1894"/>
      <c r="GN15" s="1894"/>
      <c r="GO15" s="1894"/>
      <c r="GP15" s="1894"/>
      <c r="GQ15" s="1894"/>
      <c r="GR15" s="1894"/>
      <c r="GS15" s="1894"/>
      <c r="GT15" s="1894"/>
      <c r="GU15" s="1894"/>
      <c r="GV15" s="1894"/>
      <c r="GW15" s="1894"/>
      <c r="GX15" s="1894"/>
      <c r="GY15" s="1894"/>
      <c r="GZ15" s="1894"/>
      <c r="HA15" s="1894"/>
      <c r="HB15" s="1894"/>
      <c r="HC15" s="1894"/>
      <c r="HD15" s="1894"/>
      <c r="HE15" s="1894"/>
      <c r="HF15" s="1894"/>
      <c r="HG15" s="1894"/>
      <c r="HH15" s="1894"/>
      <c r="HI15" s="1894"/>
      <c r="HJ15" s="1894"/>
      <c r="HK15" s="1894"/>
      <c r="HL15" s="1894"/>
      <c r="HM15" s="1894"/>
      <c r="HN15" s="1894"/>
      <c r="HO15" s="1894"/>
      <c r="HP15" s="1894"/>
      <c r="HQ15" s="1894"/>
      <c r="HR15" s="1894"/>
      <c r="HS15" s="1894"/>
      <c r="HT15" s="1894"/>
      <c r="HU15" s="1894"/>
      <c r="HV15" s="1894"/>
      <c r="HW15" s="1894"/>
      <c r="HX15" s="1894"/>
      <c r="HY15" s="1894"/>
      <c r="HZ15" s="1894"/>
      <c r="IA15" s="1894"/>
      <c r="IB15" s="1894"/>
      <c r="IC15" s="1894"/>
      <c r="ID15" s="1894"/>
      <c r="IE15" s="1894"/>
      <c r="IF15" s="1894"/>
      <c r="IG15" s="1894"/>
      <c r="IH15" s="1894"/>
      <c r="II15" s="1894"/>
      <c r="IJ15" s="1894"/>
    </row>
    <row r="16" spans="1:244" s="1895" customFormat="1" ht="8.25" customHeight="1" x14ac:dyDescent="0.3">
      <c r="A16" s="487"/>
      <c r="B16" s="487"/>
      <c r="C16" s="1917"/>
      <c r="D16" s="1913"/>
      <c r="E16" s="1913"/>
      <c r="F16" s="1913"/>
      <c r="G16" s="1913"/>
      <c r="H16" s="1937"/>
      <c r="I16" s="1913"/>
      <c r="J16" s="1913"/>
      <c r="K16" s="1896"/>
      <c r="L16" s="1896"/>
      <c r="M16" s="1896"/>
      <c r="N16" s="1896"/>
      <c r="O16" s="1896"/>
      <c r="P16" s="1896"/>
      <c r="Q16" s="487"/>
      <c r="R16" s="487"/>
      <c r="S16" s="487"/>
      <c r="T16" s="487"/>
      <c r="U16" s="487"/>
      <c r="V16" s="487"/>
      <c r="W16" s="487"/>
      <c r="X16" s="487"/>
      <c r="Y16" s="487"/>
      <c r="Z16" s="487"/>
      <c r="AA16" s="487"/>
      <c r="AB16" s="487"/>
      <c r="AC16" s="487"/>
      <c r="AD16" s="487"/>
      <c r="AE16" s="487"/>
      <c r="AF16" s="487"/>
      <c r="AG16" s="487"/>
      <c r="AH16" s="487"/>
      <c r="AI16" s="487"/>
      <c r="AJ16" s="487"/>
      <c r="AK16" s="487"/>
      <c r="AL16" s="487"/>
      <c r="AM16" s="487"/>
      <c r="AN16" s="487"/>
      <c r="AO16" s="487"/>
      <c r="AP16" s="487"/>
      <c r="AQ16" s="487"/>
      <c r="AR16" s="487"/>
      <c r="AS16" s="487"/>
      <c r="AT16" s="487"/>
      <c r="AU16" s="487"/>
      <c r="AV16" s="487"/>
      <c r="AW16" s="487"/>
      <c r="AX16" s="487"/>
      <c r="AY16" s="487"/>
      <c r="AZ16" s="487"/>
      <c r="BA16" s="1894"/>
      <c r="BB16" s="1894"/>
      <c r="BC16" s="1894"/>
      <c r="BD16" s="1894"/>
      <c r="BE16" s="1894"/>
      <c r="BF16" s="1894"/>
      <c r="BG16" s="1894"/>
      <c r="BH16" s="1894"/>
      <c r="BI16" s="1894"/>
      <c r="BJ16" s="1894"/>
      <c r="BK16" s="1894"/>
      <c r="BL16" s="1894"/>
      <c r="BM16" s="1894"/>
      <c r="BN16" s="1894"/>
      <c r="BO16" s="1894"/>
      <c r="BP16" s="1894"/>
      <c r="BQ16" s="1894"/>
      <c r="BR16" s="1894"/>
      <c r="BS16" s="1894"/>
      <c r="BT16" s="1894"/>
      <c r="BU16" s="1894"/>
      <c r="BV16" s="1894"/>
      <c r="BW16" s="1894"/>
      <c r="BX16" s="1894"/>
      <c r="BY16" s="1894"/>
      <c r="BZ16" s="1894"/>
      <c r="CA16" s="1894"/>
      <c r="CB16" s="1894"/>
      <c r="CC16" s="1894"/>
      <c r="CD16" s="1894"/>
      <c r="CE16" s="1894"/>
      <c r="CF16" s="1894"/>
      <c r="CG16" s="1894"/>
      <c r="CH16" s="1894"/>
      <c r="CI16" s="1894"/>
      <c r="CJ16" s="1894"/>
      <c r="CK16" s="1894"/>
      <c r="CL16" s="1894"/>
      <c r="CM16" s="1894"/>
      <c r="CN16" s="1894"/>
      <c r="CO16" s="1894"/>
      <c r="CP16" s="1894"/>
      <c r="CQ16" s="1894"/>
      <c r="CR16" s="1894"/>
      <c r="CS16" s="1894"/>
      <c r="CT16" s="1894"/>
      <c r="CU16" s="1894"/>
      <c r="CV16" s="1894"/>
      <c r="CW16" s="1894"/>
      <c r="CX16" s="1894"/>
      <c r="CY16" s="1894"/>
      <c r="CZ16" s="1894"/>
      <c r="DA16" s="1894"/>
      <c r="DB16" s="1894"/>
      <c r="DC16" s="1894"/>
      <c r="DD16" s="1894"/>
      <c r="DE16" s="1894"/>
      <c r="DF16" s="1894"/>
      <c r="DG16" s="1894"/>
      <c r="DH16" s="1894"/>
      <c r="DI16" s="1894"/>
      <c r="DJ16" s="1894"/>
      <c r="DK16" s="1894"/>
      <c r="DL16" s="1894"/>
      <c r="DM16" s="1894"/>
      <c r="DN16" s="1894"/>
      <c r="DO16" s="1894"/>
      <c r="DP16" s="1894"/>
      <c r="DQ16" s="1894"/>
      <c r="DR16" s="1894"/>
      <c r="DS16" s="1894"/>
      <c r="DT16" s="1894"/>
      <c r="DU16" s="1894"/>
      <c r="DV16" s="1894"/>
      <c r="DW16" s="1894"/>
      <c r="DX16" s="1894"/>
      <c r="DY16" s="1894"/>
      <c r="DZ16" s="1894"/>
      <c r="EA16" s="1894"/>
      <c r="EB16" s="1894"/>
      <c r="EC16" s="1894"/>
      <c r="ED16" s="1894"/>
      <c r="EE16" s="1894"/>
      <c r="EF16" s="1894"/>
      <c r="EG16" s="1894"/>
      <c r="EH16" s="1894"/>
      <c r="EI16" s="1894"/>
      <c r="EJ16" s="1894"/>
      <c r="EK16" s="1894"/>
      <c r="EL16" s="1894"/>
      <c r="EM16" s="1894"/>
      <c r="EN16" s="1894"/>
      <c r="EO16" s="1894"/>
      <c r="EP16" s="1894"/>
      <c r="EQ16" s="1894"/>
      <c r="ER16" s="1894"/>
      <c r="ES16" s="1894"/>
      <c r="ET16" s="1894"/>
      <c r="EU16" s="1894"/>
      <c r="EV16" s="1894"/>
      <c r="EW16" s="1894"/>
      <c r="EX16" s="1894"/>
      <c r="EY16" s="1894"/>
      <c r="EZ16" s="1894"/>
      <c r="FA16" s="1894"/>
      <c r="FB16" s="1894"/>
      <c r="FC16" s="1894"/>
      <c r="FD16" s="1894"/>
      <c r="FE16" s="1894"/>
      <c r="FF16" s="1894"/>
      <c r="FG16" s="1894"/>
      <c r="FH16" s="1894"/>
      <c r="FI16" s="1894"/>
      <c r="FJ16" s="1894"/>
      <c r="FK16" s="1894"/>
      <c r="FL16" s="1894"/>
      <c r="FM16" s="1894"/>
      <c r="FN16" s="1894"/>
      <c r="FO16" s="1894"/>
      <c r="FP16" s="1894"/>
      <c r="FQ16" s="1894"/>
      <c r="FR16" s="1894"/>
      <c r="FS16" s="1894"/>
      <c r="FT16" s="1894"/>
      <c r="FU16" s="1894"/>
      <c r="FV16" s="1894"/>
      <c r="FW16" s="1894"/>
      <c r="FX16" s="1894"/>
      <c r="FY16" s="1894"/>
      <c r="FZ16" s="1894"/>
      <c r="GA16" s="1894"/>
      <c r="GB16" s="1894"/>
      <c r="GC16" s="1894"/>
      <c r="GD16" s="1894"/>
      <c r="GE16" s="1894"/>
      <c r="GF16" s="1894"/>
      <c r="GG16" s="1894"/>
      <c r="GH16" s="1894"/>
      <c r="GI16" s="1894"/>
      <c r="GJ16" s="1894"/>
      <c r="GK16" s="1894"/>
      <c r="GL16" s="1894"/>
      <c r="GM16" s="1894"/>
      <c r="GN16" s="1894"/>
      <c r="GO16" s="1894"/>
      <c r="GP16" s="1894"/>
      <c r="GQ16" s="1894"/>
      <c r="GR16" s="1894"/>
      <c r="GS16" s="1894"/>
      <c r="GT16" s="1894"/>
      <c r="GU16" s="1894"/>
      <c r="GV16" s="1894"/>
      <c r="GW16" s="1894"/>
      <c r="GX16" s="1894"/>
      <c r="GY16" s="1894"/>
      <c r="GZ16" s="1894"/>
      <c r="HA16" s="1894"/>
      <c r="HB16" s="1894"/>
      <c r="HC16" s="1894"/>
      <c r="HD16" s="1894"/>
      <c r="HE16" s="1894"/>
      <c r="HF16" s="1894"/>
      <c r="HG16" s="1894"/>
      <c r="HH16" s="1894"/>
      <c r="HI16" s="1894"/>
      <c r="HJ16" s="1894"/>
      <c r="HK16" s="1894"/>
      <c r="HL16" s="1894"/>
      <c r="HM16" s="1894"/>
      <c r="HN16" s="1894"/>
      <c r="HO16" s="1894"/>
      <c r="HP16" s="1894"/>
      <c r="HQ16" s="1894"/>
      <c r="HR16" s="1894"/>
      <c r="HS16" s="1894"/>
      <c r="HT16" s="1894"/>
      <c r="HU16" s="1894"/>
      <c r="HV16" s="1894"/>
      <c r="HW16" s="1894"/>
      <c r="HX16" s="1894"/>
      <c r="HY16" s="1894"/>
      <c r="HZ16" s="1894"/>
      <c r="IA16" s="1894"/>
      <c r="IB16" s="1894"/>
      <c r="IC16" s="1894"/>
      <c r="ID16" s="1894"/>
      <c r="IE16" s="1894"/>
      <c r="IF16" s="1894"/>
      <c r="IG16" s="1894"/>
      <c r="IH16" s="1894"/>
      <c r="II16" s="1894"/>
      <c r="IJ16" s="1894"/>
    </row>
    <row r="17" spans="1:244" s="1895" customFormat="1" ht="18.75" x14ac:dyDescent="0.25">
      <c r="A17" s="487"/>
      <c r="B17" s="2082" t="s">
        <v>1395</v>
      </c>
      <c r="C17" s="2083"/>
      <c r="D17" s="2083" t="s">
        <v>1381</v>
      </c>
      <c r="E17" s="2083"/>
      <c r="F17" s="2084" t="s">
        <v>1396</v>
      </c>
      <c r="G17" s="2084"/>
      <c r="H17" s="2084"/>
      <c r="I17" s="2084" t="s">
        <v>1397</v>
      </c>
      <c r="J17" s="2084"/>
      <c r="K17" s="2084" t="s">
        <v>1398</v>
      </c>
      <c r="L17" s="2084"/>
      <c r="M17" s="1896"/>
      <c r="N17" s="1896"/>
      <c r="O17" s="1896"/>
      <c r="P17" s="1896"/>
      <c r="Q17" s="487"/>
      <c r="R17" s="487"/>
      <c r="S17" s="487"/>
      <c r="T17" s="487"/>
      <c r="U17" s="487"/>
      <c r="V17" s="487"/>
      <c r="W17" s="487"/>
      <c r="X17" s="487"/>
      <c r="Y17" s="487"/>
      <c r="Z17" s="487"/>
      <c r="AA17" s="487"/>
      <c r="AB17" s="487"/>
      <c r="AC17" s="487"/>
      <c r="AD17" s="487"/>
      <c r="AE17" s="487"/>
      <c r="AF17" s="487"/>
      <c r="AG17" s="487"/>
      <c r="AH17" s="487"/>
      <c r="AI17" s="487"/>
      <c r="AJ17" s="487"/>
      <c r="AK17" s="487"/>
      <c r="AL17" s="487"/>
      <c r="AM17" s="487"/>
      <c r="AN17" s="487"/>
      <c r="AO17" s="487"/>
      <c r="AP17" s="487"/>
      <c r="AQ17" s="487"/>
      <c r="AR17" s="487"/>
      <c r="AS17" s="487"/>
      <c r="AT17" s="487"/>
      <c r="AU17" s="487"/>
      <c r="AV17" s="487"/>
      <c r="AW17" s="487"/>
      <c r="AX17" s="487"/>
      <c r="AY17" s="487"/>
      <c r="AZ17" s="487"/>
      <c r="BA17" s="1894"/>
      <c r="BB17" s="1894"/>
      <c r="BC17" s="1894"/>
      <c r="BD17" s="1894"/>
      <c r="BE17" s="1894"/>
      <c r="BF17" s="1894"/>
      <c r="BG17" s="1894"/>
      <c r="BH17" s="1894"/>
      <c r="BI17" s="1894"/>
      <c r="BJ17" s="1894"/>
      <c r="BK17" s="1894"/>
      <c r="BL17" s="1894"/>
      <c r="BM17" s="1894"/>
      <c r="BN17" s="1894"/>
      <c r="BO17" s="1894"/>
      <c r="BP17" s="1894"/>
      <c r="BQ17" s="1894"/>
      <c r="BR17" s="1894"/>
      <c r="BS17" s="1894"/>
      <c r="BT17" s="1894"/>
      <c r="BU17" s="1894"/>
      <c r="BV17" s="1894"/>
      <c r="BW17" s="1894"/>
      <c r="BX17" s="1894"/>
      <c r="BY17" s="1894"/>
      <c r="BZ17" s="1894"/>
      <c r="CA17" s="1894"/>
      <c r="CB17" s="1894"/>
      <c r="CC17" s="1894"/>
      <c r="CD17" s="1894"/>
      <c r="CE17" s="1894"/>
      <c r="CF17" s="1894"/>
      <c r="CG17" s="1894"/>
      <c r="CH17" s="1894"/>
      <c r="CI17" s="1894"/>
      <c r="CJ17" s="1894"/>
      <c r="CK17" s="1894"/>
      <c r="CL17" s="1894"/>
      <c r="CM17" s="1894"/>
      <c r="CN17" s="1894"/>
      <c r="CO17" s="1894"/>
      <c r="CP17" s="1894"/>
      <c r="CQ17" s="1894"/>
      <c r="CR17" s="1894"/>
      <c r="CS17" s="1894"/>
      <c r="CT17" s="1894"/>
      <c r="CU17" s="1894"/>
      <c r="CV17" s="1894"/>
      <c r="CW17" s="1894"/>
      <c r="CX17" s="1894"/>
      <c r="CY17" s="1894"/>
      <c r="CZ17" s="1894"/>
      <c r="DA17" s="1894"/>
      <c r="DB17" s="1894"/>
      <c r="DC17" s="1894"/>
      <c r="DD17" s="1894"/>
      <c r="DE17" s="1894"/>
      <c r="DF17" s="1894"/>
      <c r="DG17" s="1894"/>
      <c r="DH17" s="1894"/>
      <c r="DI17" s="1894"/>
      <c r="DJ17" s="1894"/>
      <c r="DK17" s="1894"/>
      <c r="DL17" s="1894"/>
      <c r="DM17" s="1894"/>
      <c r="DN17" s="1894"/>
      <c r="DO17" s="1894"/>
      <c r="DP17" s="1894"/>
      <c r="DQ17" s="1894"/>
      <c r="DR17" s="1894"/>
      <c r="DS17" s="1894"/>
      <c r="DT17" s="1894"/>
      <c r="DU17" s="1894"/>
      <c r="DV17" s="1894"/>
      <c r="DW17" s="1894"/>
      <c r="DX17" s="1894"/>
      <c r="DY17" s="1894"/>
      <c r="DZ17" s="1894"/>
      <c r="EA17" s="1894"/>
      <c r="EB17" s="1894"/>
      <c r="EC17" s="1894"/>
      <c r="ED17" s="1894"/>
      <c r="EE17" s="1894"/>
      <c r="EF17" s="1894"/>
      <c r="EG17" s="1894"/>
      <c r="EH17" s="1894"/>
      <c r="EI17" s="1894"/>
      <c r="EJ17" s="1894"/>
      <c r="EK17" s="1894"/>
      <c r="EL17" s="1894"/>
      <c r="EM17" s="1894"/>
      <c r="EN17" s="1894"/>
      <c r="EO17" s="1894"/>
      <c r="EP17" s="1894"/>
      <c r="EQ17" s="1894"/>
      <c r="ER17" s="1894"/>
      <c r="ES17" s="1894"/>
      <c r="ET17" s="1894"/>
      <c r="EU17" s="1894"/>
      <c r="EV17" s="1894"/>
      <c r="EW17" s="1894"/>
      <c r="EX17" s="1894"/>
      <c r="EY17" s="1894"/>
      <c r="EZ17" s="1894"/>
      <c r="FA17" s="1894"/>
      <c r="FB17" s="1894"/>
      <c r="FC17" s="1894"/>
      <c r="FD17" s="1894"/>
      <c r="FE17" s="1894"/>
      <c r="FF17" s="1894"/>
      <c r="FG17" s="1894"/>
      <c r="FH17" s="1894"/>
      <c r="FI17" s="1894"/>
      <c r="FJ17" s="1894"/>
      <c r="FK17" s="1894"/>
      <c r="FL17" s="1894"/>
      <c r="FM17" s="1894"/>
      <c r="FN17" s="1894"/>
      <c r="FO17" s="1894"/>
      <c r="FP17" s="1894"/>
      <c r="FQ17" s="1894"/>
      <c r="FR17" s="1894"/>
      <c r="FS17" s="1894"/>
      <c r="FT17" s="1894"/>
      <c r="FU17" s="1894"/>
      <c r="FV17" s="1894"/>
      <c r="FW17" s="1894"/>
      <c r="FX17" s="1894"/>
      <c r="FY17" s="1894"/>
      <c r="FZ17" s="1894"/>
      <c r="GA17" s="1894"/>
      <c r="GB17" s="1894"/>
      <c r="GC17" s="1894"/>
      <c r="GD17" s="1894"/>
      <c r="GE17" s="1894"/>
      <c r="GF17" s="1894"/>
      <c r="GG17" s="1894"/>
      <c r="GH17" s="1894"/>
      <c r="GI17" s="1894"/>
      <c r="GJ17" s="1894"/>
      <c r="GK17" s="1894"/>
      <c r="GL17" s="1894"/>
      <c r="GM17" s="1894"/>
      <c r="GN17" s="1894"/>
      <c r="GO17" s="1894"/>
      <c r="GP17" s="1894"/>
      <c r="GQ17" s="1894"/>
      <c r="GR17" s="1894"/>
      <c r="GS17" s="1894"/>
      <c r="GT17" s="1894"/>
      <c r="GU17" s="1894"/>
      <c r="GV17" s="1894"/>
      <c r="GW17" s="1894"/>
      <c r="GX17" s="1894"/>
      <c r="GY17" s="1894"/>
      <c r="GZ17" s="1894"/>
      <c r="HA17" s="1894"/>
      <c r="HB17" s="1894"/>
      <c r="HC17" s="1894"/>
      <c r="HD17" s="1894"/>
      <c r="HE17" s="1894"/>
      <c r="HF17" s="1894"/>
      <c r="HG17" s="1894"/>
      <c r="HH17" s="1894"/>
      <c r="HI17" s="1894"/>
      <c r="HJ17" s="1894"/>
      <c r="HK17" s="1894"/>
      <c r="HL17" s="1894"/>
      <c r="HM17" s="1894"/>
      <c r="HN17" s="1894"/>
      <c r="HO17" s="1894"/>
      <c r="HP17" s="1894"/>
      <c r="HQ17" s="1894"/>
      <c r="HR17" s="1894"/>
      <c r="HS17" s="1894"/>
      <c r="HT17" s="1894"/>
      <c r="HU17" s="1894"/>
      <c r="HV17" s="1894"/>
      <c r="HW17" s="1894"/>
      <c r="HX17" s="1894"/>
      <c r="HY17" s="1894"/>
      <c r="HZ17" s="1894"/>
      <c r="IA17" s="1894"/>
      <c r="IB17" s="1894"/>
      <c r="IC17" s="1894"/>
      <c r="ID17" s="1894"/>
      <c r="IE17" s="1894"/>
      <c r="IF17" s="1894"/>
      <c r="IG17" s="1894"/>
      <c r="IH17" s="1894"/>
      <c r="II17" s="1894"/>
      <c r="IJ17" s="1894"/>
    </row>
    <row r="18" spans="1:244" s="1895" customFormat="1" ht="18.75" x14ac:dyDescent="0.3">
      <c r="A18" s="487"/>
      <c r="B18" s="2085" t="s">
        <v>1411</v>
      </c>
      <c r="C18" s="2086"/>
      <c r="D18" s="2086" t="s">
        <v>1382</v>
      </c>
      <c r="E18" s="2086"/>
      <c r="F18" s="2085" t="s">
        <v>1407</v>
      </c>
      <c r="G18" s="2085"/>
      <c r="H18" s="2085"/>
      <c r="I18" s="2085" t="s">
        <v>1408</v>
      </c>
      <c r="J18" s="2085"/>
      <c r="K18" s="2085" t="s">
        <v>1409</v>
      </c>
      <c r="L18" s="2085"/>
      <c r="M18" s="1896"/>
      <c r="N18" s="1896"/>
      <c r="O18" s="1896"/>
      <c r="P18" s="1896"/>
      <c r="Q18" s="487"/>
      <c r="R18" s="487"/>
      <c r="S18" s="487"/>
      <c r="T18" s="487"/>
      <c r="U18" s="487"/>
      <c r="V18" s="487"/>
      <c r="W18" s="487"/>
      <c r="X18" s="487"/>
      <c r="Y18" s="487"/>
      <c r="Z18" s="487"/>
      <c r="AA18" s="487"/>
      <c r="AB18" s="487"/>
      <c r="AC18" s="487"/>
      <c r="AD18" s="487"/>
      <c r="AE18" s="487"/>
      <c r="AF18" s="487"/>
      <c r="AG18" s="487"/>
      <c r="AH18" s="487"/>
      <c r="AI18" s="487"/>
      <c r="AJ18" s="487"/>
      <c r="AK18" s="487"/>
      <c r="AL18" s="487"/>
      <c r="AM18" s="487"/>
      <c r="AN18" s="487"/>
      <c r="AO18" s="487"/>
      <c r="AP18" s="487"/>
      <c r="AQ18" s="487"/>
      <c r="AR18" s="487"/>
      <c r="AS18" s="487"/>
      <c r="AT18" s="487"/>
      <c r="AU18" s="487"/>
      <c r="AV18" s="487"/>
      <c r="AW18" s="487"/>
      <c r="AX18" s="487"/>
      <c r="AY18" s="487"/>
      <c r="AZ18" s="487"/>
      <c r="BA18" s="1894"/>
      <c r="BB18" s="1894"/>
      <c r="BC18" s="1894"/>
      <c r="BD18" s="1894"/>
      <c r="BE18" s="1894"/>
      <c r="BF18" s="1894"/>
      <c r="BG18" s="1894"/>
      <c r="BH18" s="1894"/>
      <c r="BI18" s="1894"/>
      <c r="BJ18" s="1894"/>
      <c r="BK18" s="1894"/>
      <c r="BL18" s="1894"/>
      <c r="BM18" s="1894"/>
      <c r="BN18" s="1894"/>
      <c r="BO18" s="1894"/>
      <c r="BP18" s="1894"/>
      <c r="BQ18" s="1894"/>
      <c r="BR18" s="1894"/>
      <c r="BS18" s="1894"/>
      <c r="BT18" s="1894"/>
      <c r="BU18" s="1894"/>
      <c r="BV18" s="1894"/>
      <c r="BW18" s="1894"/>
      <c r="BX18" s="1894"/>
      <c r="BY18" s="1894"/>
      <c r="BZ18" s="1894"/>
      <c r="CA18" s="1894"/>
      <c r="CB18" s="1894"/>
      <c r="CC18" s="1894"/>
      <c r="CD18" s="1894"/>
      <c r="CE18" s="1894"/>
      <c r="CF18" s="1894"/>
      <c r="CG18" s="1894"/>
      <c r="CH18" s="1894"/>
      <c r="CI18" s="1894"/>
      <c r="CJ18" s="1894"/>
      <c r="CK18" s="1894"/>
      <c r="CL18" s="1894"/>
      <c r="CM18" s="1894"/>
      <c r="CN18" s="1894"/>
      <c r="CO18" s="1894"/>
      <c r="CP18" s="1894"/>
      <c r="CQ18" s="1894"/>
      <c r="CR18" s="1894"/>
      <c r="CS18" s="1894"/>
      <c r="CT18" s="1894"/>
      <c r="CU18" s="1894"/>
      <c r="CV18" s="1894"/>
      <c r="CW18" s="1894"/>
      <c r="CX18" s="1894"/>
      <c r="CY18" s="1894"/>
      <c r="CZ18" s="1894"/>
      <c r="DA18" s="1894"/>
      <c r="DB18" s="1894"/>
      <c r="DC18" s="1894"/>
      <c r="DD18" s="1894"/>
      <c r="DE18" s="1894"/>
      <c r="DF18" s="1894"/>
      <c r="DG18" s="1894"/>
      <c r="DH18" s="1894"/>
      <c r="DI18" s="1894"/>
      <c r="DJ18" s="1894"/>
      <c r="DK18" s="1894"/>
      <c r="DL18" s="1894"/>
      <c r="DM18" s="1894"/>
      <c r="DN18" s="1894"/>
      <c r="DO18" s="1894"/>
      <c r="DP18" s="1894"/>
      <c r="DQ18" s="1894"/>
      <c r="DR18" s="1894"/>
      <c r="DS18" s="1894"/>
      <c r="DT18" s="1894"/>
      <c r="DU18" s="1894"/>
      <c r="DV18" s="1894"/>
      <c r="DW18" s="1894"/>
      <c r="DX18" s="1894"/>
      <c r="DY18" s="1894"/>
      <c r="DZ18" s="1894"/>
      <c r="EA18" s="1894"/>
      <c r="EB18" s="1894"/>
      <c r="EC18" s="1894"/>
      <c r="ED18" s="1894"/>
      <c r="EE18" s="1894"/>
      <c r="EF18" s="1894"/>
      <c r="EG18" s="1894"/>
      <c r="EH18" s="1894"/>
      <c r="EI18" s="1894"/>
      <c r="EJ18" s="1894"/>
      <c r="EK18" s="1894"/>
      <c r="EL18" s="1894"/>
      <c r="EM18" s="1894"/>
      <c r="EN18" s="1894"/>
      <c r="EO18" s="1894"/>
      <c r="EP18" s="1894"/>
      <c r="EQ18" s="1894"/>
      <c r="ER18" s="1894"/>
      <c r="ES18" s="1894"/>
      <c r="ET18" s="1894"/>
      <c r="EU18" s="1894"/>
      <c r="EV18" s="1894"/>
      <c r="EW18" s="1894"/>
      <c r="EX18" s="1894"/>
      <c r="EY18" s="1894"/>
      <c r="EZ18" s="1894"/>
      <c r="FA18" s="1894"/>
      <c r="FB18" s="1894"/>
      <c r="FC18" s="1894"/>
      <c r="FD18" s="1894"/>
      <c r="FE18" s="1894"/>
      <c r="FF18" s="1894"/>
      <c r="FG18" s="1894"/>
      <c r="FH18" s="1894"/>
      <c r="FI18" s="1894"/>
      <c r="FJ18" s="1894"/>
      <c r="FK18" s="1894"/>
      <c r="FL18" s="1894"/>
      <c r="FM18" s="1894"/>
      <c r="FN18" s="1894"/>
      <c r="FO18" s="1894"/>
      <c r="FP18" s="1894"/>
      <c r="FQ18" s="1894"/>
      <c r="FR18" s="1894"/>
      <c r="FS18" s="1894"/>
      <c r="FT18" s="1894"/>
      <c r="FU18" s="1894"/>
      <c r="FV18" s="1894"/>
      <c r="FW18" s="1894"/>
      <c r="FX18" s="1894"/>
      <c r="FY18" s="1894"/>
      <c r="FZ18" s="1894"/>
      <c r="GA18" s="1894"/>
      <c r="GB18" s="1894"/>
      <c r="GC18" s="1894"/>
      <c r="GD18" s="1894"/>
      <c r="GE18" s="1894"/>
      <c r="GF18" s="1894"/>
      <c r="GG18" s="1894"/>
      <c r="GH18" s="1894"/>
      <c r="GI18" s="1894"/>
      <c r="GJ18" s="1894"/>
      <c r="GK18" s="1894"/>
      <c r="GL18" s="1894"/>
      <c r="GM18" s="1894"/>
      <c r="GN18" s="1894"/>
      <c r="GO18" s="1894"/>
      <c r="GP18" s="1894"/>
      <c r="GQ18" s="1894"/>
      <c r="GR18" s="1894"/>
      <c r="GS18" s="1894"/>
      <c r="GT18" s="1894"/>
      <c r="GU18" s="1894"/>
      <c r="GV18" s="1894"/>
      <c r="GW18" s="1894"/>
      <c r="GX18" s="1894"/>
      <c r="GY18" s="1894"/>
      <c r="GZ18" s="1894"/>
      <c r="HA18" s="1894"/>
      <c r="HB18" s="1894"/>
      <c r="HC18" s="1894"/>
      <c r="HD18" s="1894"/>
      <c r="HE18" s="1894"/>
      <c r="HF18" s="1894"/>
      <c r="HG18" s="1894"/>
      <c r="HH18" s="1894"/>
      <c r="HI18" s="1894"/>
      <c r="HJ18" s="1894"/>
      <c r="HK18" s="1894"/>
      <c r="HL18" s="1894"/>
      <c r="HM18" s="1894"/>
      <c r="HN18" s="1894"/>
      <c r="HO18" s="1894"/>
      <c r="HP18" s="1894"/>
      <c r="HQ18" s="1894"/>
      <c r="HR18" s="1894"/>
      <c r="HS18" s="1894"/>
      <c r="HT18" s="1894"/>
      <c r="HU18" s="1894"/>
      <c r="HV18" s="1894"/>
      <c r="HW18" s="1894"/>
      <c r="HX18" s="1894"/>
      <c r="HY18" s="1894"/>
      <c r="HZ18" s="1894"/>
      <c r="IA18" s="1894"/>
      <c r="IB18" s="1894"/>
      <c r="IC18" s="1894"/>
      <c r="ID18" s="1894"/>
      <c r="IE18" s="1894"/>
      <c r="IF18" s="1894"/>
      <c r="IG18" s="1894"/>
      <c r="IH18" s="1894"/>
      <c r="II18" s="1894"/>
      <c r="IJ18" s="1894"/>
    </row>
    <row r="19" spans="1:244" s="1895" customFormat="1" x14ac:dyDescent="0.25">
      <c r="A19" s="487"/>
      <c r="B19" s="487"/>
      <c r="C19" s="1896"/>
      <c r="D19" s="1896"/>
      <c r="E19" s="1896"/>
      <c r="F19" s="1896"/>
      <c r="G19" s="1896"/>
      <c r="H19" s="1899"/>
      <c r="I19" s="1897"/>
      <c r="J19" s="1896"/>
      <c r="K19" s="1896"/>
      <c r="L19" s="1896"/>
      <c r="M19" s="1896"/>
      <c r="N19" s="1896"/>
      <c r="O19" s="1896"/>
      <c r="P19" s="1896"/>
      <c r="Q19" s="487"/>
      <c r="R19" s="487"/>
      <c r="S19" s="487"/>
      <c r="T19" s="487"/>
      <c r="U19" s="487"/>
      <c r="V19" s="487"/>
      <c r="W19" s="487"/>
      <c r="X19" s="487"/>
      <c r="Y19" s="487"/>
      <c r="Z19" s="487"/>
      <c r="AA19" s="487"/>
      <c r="AB19" s="487"/>
      <c r="AC19" s="487"/>
      <c r="AD19" s="487"/>
      <c r="AE19" s="487"/>
      <c r="AF19" s="487"/>
      <c r="AG19" s="487"/>
      <c r="AH19" s="487"/>
      <c r="AI19" s="487"/>
      <c r="AJ19" s="487"/>
      <c r="AK19" s="487"/>
      <c r="AL19" s="487"/>
      <c r="AM19" s="487"/>
      <c r="AN19" s="487"/>
      <c r="AO19" s="487"/>
      <c r="AP19" s="487"/>
      <c r="AQ19" s="487"/>
      <c r="AR19" s="487"/>
      <c r="AS19" s="487"/>
      <c r="AT19" s="487"/>
      <c r="AU19" s="487"/>
      <c r="AV19" s="487"/>
      <c r="AW19" s="487"/>
      <c r="AX19" s="487"/>
      <c r="AY19" s="487"/>
      <c r="AZ19" s="487"/>
      <c r="BA19" s="1894"/>
      <c r="BB19" s="1894"/>
      <c r="BC19" s="1894"/>
      <c r="BD19" s="1894"/>
      <c r="BE19" s="1894"/>
      <c r="BF19" s="1894"/>
      <c r="BG19" s="1894"/>
      <c r="BH19" s="1894"/>
      <c r="BI19" s="1894"/>
      <c r="BJ19" s="1894"/>
      <c r="BK19" s="1894"/>
      <c r="BL19" s="1894"/>
      <c r="BM19" s="1894"/>
      <c r="BN19" s="1894"/>
      <c r="BO19" s="1894"/>
      <c r="BP19" s="1894"/>
      <c r="BQ19" s="1894"/>
      <c r="BR19" s="1894"/>
      <c r="BS19" s="1894"/>
      <c r="BT19" s="1894"/>
      <c r="BU19" s="1894"/>
      <c r="BV19" s="1894"/>
      <c r="BW19" s="1894"/>
      <c r="BX19" s="1894"/>
      <c r="BY19" s="1894"/>
      <c r="BZ19" s="1894"/>
      <c r="CA19" s="1894"/>
      <c r="CB19" s="1894"/>
      <c r="CC19" s="1894"/>
      <c r="CD19" s="1894"/>
      <c r="CE19" s="1894"/>
      <c r="CF19" s="1894"/>
      <c r="CG19" s="1894"/>
      <c r="CH19" s="1894"/>
      <c r="CI19" s="1894"/>
      <c r="CJ19" s="1894"/>
      <c r="CK19" s="1894"/>
      <c r="CL19" s="1894"/>
      <c r="CM19" s="1894"/>
      <c r="CN19" s="1894"/>
      <c r="CO19" s="1894"/>
      <c r="CP19" s="1894"/>
      <c r="CQ19" s="1894"/>
      <c r="CR19" s="1894"/>
      <c r="CS19" s="1894"/>
      <c r="CT19" s="1894"/>
      <c r="CU19" s="1894"/>
      <c r="CV19" s="1894"/>
      <c r="CW19" s="1894"/>
      <c r="CX19" s="1894"/>
      <c r="CY19" s="1894"/>
      <c r="CZ19" s="1894"/>
      <c r="DA19" s="1894"/>
      <c r="DB19" s="1894"/>
      <c r="DC19" s="1894"/>
      <c r="DD19" s="1894"/>
      <c r="DE19" s="1894"/>
      <c r="DF19" s="1894"/>
      <c r="DG19" s="1894"/>
      <c r="DH19" s="1894"/>
      <c r="DI19" s="1894"/>
      <c r="DJ19" s="1894"/>
      <c r="DK19" s="1894"/>
      <c r="DL19" s="1894"/>
      <c r="DM19" s="1894"/>
      <c r="DN19" s="1894"/>
      <c r="DO19" s="1894"/>
      <c r="DP19" s="1894"/>
      <c r="DQ19" s="1894"/>
      <c r="DR19" s="1894"/>
      <c r="DS19" s="1894"/>
      <c r="DT19" s="1894"/>
      <c r="DU19" s="1894"/>
      <c r="DV19" s="1894"/>
      <c r="DW19" s="1894"/>
      <c r="DX19" s="1894"/>
      <c r="DY19" s="1894"/>
      <c r="DZ19" s="1894"/>
      <c r="EA19" s="1894"/>
      <c r="EB19" s="1894"/>
      <c r="EC19" s="1894"/>
      <c r="ED19" s="1894"/>
      <c r="EE19" s="1894"/>
      <c r="EF19" s="1894"/>
      <c r="EG19" s="1894"/>
      <c r="EH19" s="1894"/>
      <c r="EI19" s="1894"/>
      <c r="EJ19" s="1894"/>
      <c r="EK19" s="1894"/>
      <c r="EL19" s="1894"/>
      <c r="EM19" s="1894"/>
      <c r="EN19" s="1894"/>
      <c r="EO19" s="1894"/>
      <c r="EP19" s="1894"/>
      <c r="EQ19" s="1894"/>
      <c r="ER19" s="1894"/>
      <c r="ES19" s="1894"/>
      <c r="ET19" s="1894"/>
      <c r="EU19" s="1894"/>
      <c r="EV19" s="1894"/>
      <c r="EW19" s="1894"/>
      <c r="EX19" s="1894"/>
      <c r="EY19" s="1894"/>
      <c r="EZ19" s="1894"/>
      <c r="FA19" s="1894"/>
      <c r="FB19" s="1894"/>
      <c r="FC19" s="1894"/>
      <c r="FD19" s="1894"/>
      <c r="FE19" s="1894"/>
      <c r="FF19" s="1894"/>
      <c r="FG19" s="1894"/>
      <c r="FH19" s="1894"/>
      <c r="FI19" s="1894"/>
      <c r="FJ19" s="1894"/>
      <c r="FK19" s="1894"/>
      <c r="FL19" s="1894"/>
      <c r="FM19" s="1894"/>
      <c r="FN19" s="1894"/>
      <c r="FO19" s="1894"/>
      <c r="FP19" s="1894"/>
      <c r="FQ19" s="1894"/>
      <c r="FR19" s="1894"/>
      <c r="FS19" s="1894"/>
      <c r="FT19" s="1894"/>
      <c r="FU19" s="1894"/>
      <c r="FV19" s="1894"/>
      <c r="FW19" s="1894"/>
      <c r="FX19" s="1894"/>
      <c r="FY19" s="1894"/>
      <c r="FZ19" s="1894"/>
      <c r="GA19" s="1894"/>
      <c r="GB19" s="1894"/>
      <c r="GC19" s="1894"/>
      <c r="GD19" s="1894"/>
      <c r="GE19" s="1894"/>
      <c r="GF19" s="1894"/>
      <c r="GG19" s="1894"/>
      <c r="GH19" s="1894"/>
      <c r="GI19" s="1894"/>
      <c r="GJ19" s="1894"/>
      <c r="GK19" s="1894"/>
      <c r="GL19" s="1894"/>
      <c r="GM19" s="1894"/>
      <c r="GN19" s="1894"/>
      <c r="GO19" s="1894"/>
      <c r="GP19" s="1894"/>
      <c r="GQ19" s="1894"/>
      <c r="GR19" s="1894"/>
      <c r="GS19" s="1894"/>
      <c r="GT19" s="1894"/>
      <c r="GU19" s="1894"/>
      <c r="GV19" s="1894"/>
      <c r="GW19" s="1894"/>
      <c r="GX19" s="1894"/>
      <c r="GY19" s="1894"/>
      <c r="GZ19" s="1894"/>
      <c r="HA19" s="1894"/>
      <c r="HB19" s="1894"/>
      <c r="HC19" s="1894"/>
      <c r="HD19" s="1894"/>
      <c r="HE19" s="1894"/>
      <c r="HF19" s="1894"/>
      <c r="HG19" s="1894"/>
      <c r="HH19" s="1894"/>
      <c r="HI19" s="1894"/>
      <c r="HJ19" s="1894"/>
      <c r="HK19" s="1894"/>
      <c r="HL19" s="1894"/>
      <c r="HM19" s="1894"/>
      <c r="HN19" s="1894"/>
      <c r="HO19" s="1894"/>
      <c r="HP19" s="1894"/>
      <c r="HQ19" s="1894"/>
      <c r="HR19" s="1894"/>
      <c r="HS19" s="1894"/>
      <c r="HT19" s="1894"/>
      <c r="HU19" s="1894"/>
      <c r="HV19" s="1894"/>
      <c r="HW19" s="1894"/>
      <c r="HX19" s="1894"/>
      <c r="HY19" s="1894"/>
      <c r="HZ19" s="1894"/>
      <c r="IA19" s="1894"/>
      <c r="IB19" s="1894"/>
      <c r="IC19" s="1894"/>
      <c r="ID19" s="1894"/>
      <c r="IE19" s="1894"/>
      <c r="IF19" s="1894"/>
      <c r="IG19" s="1894"/>
      <c r="IH19" s="1894"/>
      <c r="II19" s="1894"/>
      <c r="IJ19" s="1894"/>
    </row>
    <row r="20" spans="1:244" s="1895" customFormat="1" ht="24" x14ac:dyDescent="0.4">
      <c r="A20" s="487"/>
      <c r="B20" s="131" t="s">
        <v>435</v>
      </c>
      <c r="C20" s="131"/>
      <c r="D20" s="1938"/>
      <c r="E20" s="1938"/>
      <c r="F20" s="1938"/>
      <c r="G20" s="1938"/>
      <c r="H20" s="1938"/>
      <c r="I20" s="131"/>
      <c r="J20" s="131"/>
      <c r="K20" s="131"/>
      <c r="L20" s="132" t="s">
        <v>0</v>
      </c>
      <c r="M20" s="487"/>
      <c r="N20" s="487"/>
      <c r="O20" s="487"/>
      <c r="P20" s="487"/>
      <c r="Q20" s="487"/>
      <c r="R20" s="487"/>
      <c r="S20" s="487"/>
      <c r="T20" s="487"/>
      <c r="U20" s="487"/>
      <c r="V20" s="487"/>
      <c r="W20" s="487"/>
      <c r="X20" s="487"/>
      <c r="Y20" s="487"/>
      <c r="Z20" s="487"/>
      <c r="AA20" s="487"/>
      <c r="AB20" s="487"/>
      <c r="AC20" s="487"/>
      <c r="AD20" s="487"/>
      <c r="AE20" s="487"/>
      <c r="AF20" s="487"/>
      <c r="AG20" s="487"/>
      <c r="AH20" s="487"/>
      <c r="AI20" s="487"/>
      <c r="AJ20" s="487"/>
      <c r="AK20" s="487"/>
      <c r="AL20" s="487"/>
      <c r="AM20" s="487"/>
      <c r="AN20" s="487"/>
      <c r="AO20" s="487"/>
      <c r="AP20" s="487"/>
      <c r="AQ20" s="487"/>
      <c r="AR20" s="487"/>
      <c r="AS20" s="487"/>
      <c r="AT20" s="487"/>
      <c r="AU20" s="487"/>
      <c r="AV20" s="487"/>
      <c r="AW20" s="487"/>
      <c r="AX20" s="487"/>
      <c r="AY20" s="487"/>
      <c r="AZ20" s="487"/>
      <c r="BA20" s="1894"/>
      <c r="BB20" s="1894"/>
      <c r="BC20" s="1894"/>
      <c r="BD20" s="1894"/>
      <c r="BE20" s="1894"/>
      <c r="BF20" s="1894"/>
      <c r="BG20" s="1894"/>
      <c r="BH20" s="1894"/>
      <c r="BI20" s="1894"/>
      <c r="BJ20" s="1894"/>
      <c r="BK20" s="1894"/>
      <c r="BL20" s="1894"/>
      <c r="BM20" s="1894"/>
      <c r="BN20" s="1894"/>
      <c r="BO20" s="1894"/>
      <c r="BP20" s="1894"/>
      <c r="BQ20" s="1894"/>
      <c r="BR20" s="1894"/>
      <c r="BS20" s="1894"/>
      <c r="BT20" s="1894"/>
      <c r="BU20" s="1894"/>
      <c r="BV20" s="1894"/>
      <c r="BW20" s="1894"/>
      <c r="BX20" s="1894"/>
      <c r="BY20" s="1894"/>
      <c r="BZ20" s="1894"/>
      <c r="CA20" s="1894"/>
      <c r="CB20" s="1894"/>
      <c r="CC20" s="1894"/>
      <c r="CD20" s="1894"/>
      <c r="CE20" s="1894"/>
      <c r="CF20" s="1894"/>
      <c r="CG20" s="1894"/>
      <c r="CH20" s="1894"/>
      <c r="CI20" s="1894"/>
      <c r="CJ20" s="1894"/>
      <c r="CK20" s="1894"/>
      <c r="CL20" s="1894"/>
      <c r="CM20" s="1894"/>
      <c r="CN20" s="1894"/>
      <c r="CO20" s="1894"/>
      <c r="CP20" s="1894"/>
      <c r="CQ20" s="1894"/>
      <c r="CR20" s="1894"/>
      <c r="CS20" s="1894"/>
      <c r="CT20" s="1894"/>
      <c r="CU20" s="1894"/>
      <c r="CV20" s="1894"/>
      <c r="CW20" s="1894"/>
      <c r="CX20" s="1894"/>
      <c r="CY20" s="1894"/>
      <c r="CZ20" s="1894"/>
      <c r="DA20" s="1894"/>
      <c r="DB20" s="1894"/>
      <c r="DC20" s="1894"/>
      <c r="DD20" s="1894"/>
      <c r="DE20" s="1894"/>
      <c r="DF20" s="1894"/>
      <c r="DG20" s="1894"/>
      <c r="DH20" s="1894"/>
      <c r="DI20" s="1894"/>
      <c r="DJ20" s="1894"/>
      <c r="DK20" s="1894"/>
      <c r="DL20" s="1894"/>
      <c r="DM20" s="1894"/>
      <c r="DN20" s="1894"/>
      <c r="DO20" s="1894"/>
      <c r="DP20" s="1894"/>
      <c r="DQ20" s="1894"/>
      <c r="DR20" s="1894"/>
      <c r="DS20" s="1894"/>
      <c r="DT20" s="1894"/>
      <c r="DU20" s="1894"/>
      <c r="DV20" s="1894"/>
      <c r="DW20" s="1894"/>
      <c r="DX20" s="1894"/>
      <c r="DY20" s="1894"/>
      <c r="DZ20" s="1894"/>
      <c r="EA20" s="1894"/>
      <c r="EB20" s="1894"/>
      <c r="EC20" s="1894"/>
      <c r="ED20" s="1894"/>
      <c r="EE20" s="1894"/>
      <c r="EF20" s="1894"/>
      <c r="EG20" s="1894"/>
      <c r="EH20" s="1894"/>
      <c r="EI20" s="1894"/>
      <c r="EJ20" s="1894"/>
      <c r="EK20" s="1894"/>
      <c r="EL20" s="1894"/>
      <c r="EM20" s="1894"/>
      <c r="EN20" s="1894"/>
      <c r="EO20" s="1894"/>
      <c r="EP20" s="1894"/>
      <c r="EQ20" s="1894"/>
      <c r="ER20" s="1894"/>
      <c r="ES20" s="1894"/>
      <c r="ET20" s="1894"/>
      <c r="EU20" s="1894"/>
      <c r="EV20" s="1894"/>
      <c r="EW20" s="1894"/>
      <c r="EX20" s="1894"/>
      <c r="EY20" s="1894"/>
      <c r="EZ20" s="1894"/>
      <c r="FA20" s="1894"/>
      <c r="FB20" s="1894"/>
      <c r="FC20" s="1894"/>
      <c r="FD20" s="1894"/>
      <c r="FE20" s="1894"/>
      <c r="FF20" s="1894"/>
      <c r="FG20" s="1894"/>
      <c r="FH20" s="1894"/>
      <c r="FI20" s="1894"/>
      <c r="FJ20" s="1894"/>
      <c r="FK20" s="1894"/>
      <c r="FL20" s="1894"/>
      <c r="FM20" s="1894"/>
      <c r="FN20" s="1894"/>
      <c r="FO20" s="1894"/>
      <c r="FP20" s="1894"/>
      <c r="FQ20" s="1894"/>
      <c r="FR20" s="1894"/>
      <c r="FS20" s="1894"/>
      <c r="FT20" s="1894"/>
      <c r="FU20" s="1894"/>
      <c r="FV20" s="1894"/>
      <c r="FW20" s="1894"/>
      <c r="FX20" s="1894"/>
      <c r="FY20" s="1894"/>
      <c r="FZ20" s="1894"/>
      <c r="GA20" s="1894"/>
      <c r="GB20" s="1894"/>
      <c r="GC20" s="1894"/>
      <c r="GD20" s="1894"/>
      <c r="GE20" s="1894"/>
      <c r="GF20" s="1894"/>
      <c r="GG20" s="1894"/>
      <c r="GH20" s="1894"/>
      <c r="GI20" s="1894"/>
      <c r="GJ20" s="1894"/>
      <c r="GK20" s="1894"/>
      <c r="GL20" s="1894"/>
      <c r="GM20" s="1894"/>
      <c r="GN20" s="1894"/>
      <c r="GO20" s="1894"/>
      <c r="GP20" s="1894"/>
      <c r="GQ20" s="1894"/>
      <c r="GR20" s="1894"/>
      <c r="GS20" s="1894"/>
      <c r="GT20" s="1894"/>
      <c r="GU20" s="1894"/>
      <c r="GV20" s="1894"/>
      <c r="GW20" s="1894"/>
      <c r="GX20" s="1894"/>
      <c r="GY20" s="1894"/>
      <c r="GZ20" s="1894"/>
      <c r="HA20" s="1894"/>
      <c r="HB20" s="1894"/>
      <c r="HC20" s="1894"/>
      <c r="HD20" s="1894"/>
      <c r="HE20" s="1894"/>
      <c r="HF20" s="1894"/>
      <c r="HG20" s="1894"/>
      <c r="HH20" s="1894"/>
      <c r="HI20" s="1894"/>
      <c r="HJ20" s="1894"/>
      <c r="HK20" s="1894"/>
      <c r="HL20" s="1894"/>
      <c r="HM20" s="1894"/>
      <c r="HN20" s="1894"/>
      <c r="HO20" s="1894"/>
      <c r="HP20" s="1894"/>
      <c r="HQ20" s="1894"/>
      <c r="HR20" s="1894"/>
      <c r="HS20" s="1894"/>
      <c r="HT20" s="1894"/>
      <c r="HU20" s="1894"/>
      <c r="HV20" s="1894"/>
      <c r="HW20" s="1894"/>
      <c r="HX20" s="1894"/>
      <c r="HY20" s="1894"/>
      <c r="HZ20" s="1894"/>
      <c r="IA20" s="1894"/>
      <c r="IB20" s="1894"/>
      <c r="IC20" s="1894"/>
      <c r="ID20" s="1894"/>
      <c r="IE20" s="1894"/>
      <c r="IF20" s="1894"/>
      <c r="IG20" s="1894"/>
      <c r="IH20" s="1894"/>
      <c r="II20" s="1894"/>
      <c r="IJ20" s="1894"/>
    </row>
    <row r="21" spans="1:244" s="1895" customFormat="1" ht="5.25" customHeight="1" thickBot="1" x14ac:dyDescent="0.3">
      <c r="A21" s="1896"/>
      <c r="B21" s="1896"/>
      <c r="C21" s="1896"/>
      <c r="D21" s="1896"/>
      <c r="E21" s="1896"/>
      <c r="F21" s="1896"/>
      <c r="G21" s="1896"/>
      <c r="H21" s="1896"/>
      <c r="I21" s="1896"/>
      <c r="J21" s="1896"/>
      <c r="K21" s="1896"/>
      <c r="L21" s="1896"/>
      <c r="M21" s="1896"/>
      <c r="N21" s="1896"/>
      <c r="O21" s="1896"/>
      <c r="P21" s="1896"/>
      <c r="Q21" s="487"/>
      <c r="R21" s="487"/>
      <c r="S21" s="487"/>
      <c r="T21" s="487"/>
      <c r="U21" s="487"/>
      <c r="V21" s="487"/>
      <c r="W21" s="487"/>
      <c r="X21" s="487"/>
      <c r="Y21" s="487"/>
      <c r="Z21" s="487"/>
      <c r="AA21" s="487"/>
      <c r="AB21" s="487"/>
      <c r="AC21" s="487"/>
      <c r="AD21" s="487"/>
      <c r="AE21" s="487"/>
      <c r="AF21" s="487"/>
      <c r="AG21" s="487"/>
      <c r="AH21" s="487"/>
      <c r="AI21" s="487"/>
      <c r="AJ21" s="487"/>
      <c r="AK21" s="487"/>
      <c r="AL21" s="487"/>
      <c r="AM21" s="487"/>
      <c r="AN21" s="487"/>
      <c r="AO21" s="487"/>
      <c r="AP21" s="487"/>
      <c r="AQ21" s="487"/>
      <c r="AR21" s="487"/>
      <c r="AS21" s="487"/>
      <c r="AT21" s="487"/>
      <c r="AU21" s="487"/>
      <c r="AV21" s="487"/>
      <c r="AW21" s="487"/>
      <c r="AX21" s="487"/>
      <c r="AY21" s="487"/>
      <c r="AZ21" s="487"/>
      <c r="BA21" s="1894"/>
      <c r="BB21" s="1894"/>
      <c r="BC21" s="1894"/>
      <c r="BD21" s="1894"/>
      <c r="BE21" s="1894"/>
      <c r="BF21" s="1894"/>
      <c r="BG21" s="1894"/>
      <c r="BH21" s="1894"/>
      <c r="BI21" s="1894"/>
      <c r="BJ21" s="1894"/>
      <c r="BK21" s="1894"/>
      <c r="BL21" s="1894"/>
      <c r="BM21" s="1894"/>
      <c r="BN21" s="1894"/>
      <c r="BO21" s="1894"/>
      <c r="BP21" s="1894"/>
      <c r="BQ21" s="1894"/>
      <c r="BR21" s="1894"/>
      <c r="BS21" s="1894"/>
      <c r="BT21" s="1894"/>
      <c r="BU21" s="1894"/>
      <c r="BV21" s="1894"/>
      <c r="BW21" s="1894"/>
      <c r="BX21" s="1894"/>
      <c r="BY21" s="1894"/>
      <c r="BZ21" s="1894"/>
      <c r="CA21" s="1894"/>
      <c r="CB21" s="1894"/>
      <c r="CC21" s="1894"/>
      <c r="CD21" s="1894"/>
      <c r="CE21" s="1894"/>
      <c r="CF21" s="1894"/>
      <c r="CG21" s="1894"/>
      <c r="CH21" s="1894"/>
      <c r="CI21" s="1894"/>
      <c r="CJ21" s="1894"/>
      <c r="CK21" s="1894"/>
      <c r="CL21" s="1894"/>
      <c r="CM21" s="1894"/>
      <c r="CN21" s="1894"/>
      <c r="CO21" s="1894"/>
      <c r="CP21" s="1894"/>
      <c r="CQ21" s="1894"/>
      <c r="CR21" s="1894"/>
      <c r="CS21" s="1894"/>
      <c r="CT21" s="1894"/>
      <c r="CU21" s="1894"/>
      <c r="CV21" s="1894"/>
      <c r="CW21" s="1894"/>
      <c r="CX21" s="1894"/>
      <c r="CY21" s="1894"/>
      <c r="CZ21" s="1894"/>
      <c r="DA21" s="1894"/>
      <c r="DB21" s="1894"/>
      <c r="DC21" s="1894"/>
      <c r="DD21" s="1894"/>
      <c r="DE21" s="1894"/>
      <c r="DF21" s="1894"/>
      <c r="DG21" s="1894"/>
      <c r="DH21" s="1894"/>
      <c r="DI21" s="1894"/>
      <c r="DJ21" s="1894"/>
      <c r="DK21" s="1894"/>
      <c r="DL21" s="1894"/>
      <c r="DM21" s="1894"/>
      <c r="DN21" s="1894"/>
      <c r="DO21" s="1894"/>
      <c r="DP21" s="1894"/>
      <c r="DQ21" s="1894"/>
      <c r="DR21" s="1894"/>
      <c r="DS21" s="1894"/>
      <c r="DT21" s="1894"/>
      <c r="DU21" s="1894"/>
      <c r="DV21" s="1894"/>
      <c r="DW21" s="1894"/>
      <c r="DX21" s="1894"/>
      <c r="DY21" s="1894"/>
      <c r="DZ21" s="1894"/>
      <c r="EA21" s="1894"/>
      <c r="EB21" s="1894"/>
      <c r="EC21" s="1894"/>
      <c r="ED21" s="1894"/>
      <c r="EE21" s="1894"/>
      <c r="EF21" s="1894"/>
      <c r="EG21" s="1894"/>
      <c r="EH21" s="1894"/>
      <c r="EI21" s="1894"/>
      <c r="EJ21" s="1894"/>
      <c r="EK21" s="1894"/>
      <c r="EL21" s="1894"/>
      <c r="EM21" s="1894"/>
      <c r="EN21" s="1894"/>
      <c r="EO21" s="1894"/>
      <c r="EP21" s="1894"/>
      <c r="EQ21" s="1894"/>
      <c r="ER21" s="1894"/>
      <c r="ES21" s="1894"/>
      <c r="ET21" s="1894"/>
      <c r="EU21" s="1894"/>
      <c r="EV21" s="1894"/>
      <c r="EW21" s="1894"/>
      <c r="EX21" s="1894"/>
      <c r="EY21" s="1894"/>
      <c r="EZ21" s="1894"/>
      <c r="FA21" s="1894"/>
      <c r="FB21" s="1894"/>
      <c r="FC21" s="1894"/>
      <c r="FD21" s="1894"/>
      <c r="FE21" s="1894"/>
      <c r="FF21" s="1894"/>
      <c r="FG21" s="1894"/>
      <c r="FH21" s="1894"/>
      <c r="FI21" s="1894"/>
      <c r="FJ21" s="1894"/>
      <c r="FK21" s="1894"/>
      <c r="FL21" s="1894"/>
      <c r="FM21" s="1894"/>
      <c r="FN21" s="1894"/>
      <c r="FO21" s="1894"/>
      <c r="FP21" s="1894"/>
      <c r="FQ21" s="1894"/>
      <c r="FR21" s="1894"/>
      <c r="FS21" s="1894"/>
      <c r="FT21" s="1894"/>
      <c r="FU21" s="1894"/>
      <c r="FV21" s="1894"/>
      <c r="FW21" s="1894"/>
      <c r="FX21" s="1894"/>
      <c r="FY21" s="1894"/>
      <c r="FZ21" s="1894"/>
      <c r="GA21" s="1894"/>
      <c r="GB21" s="1894"/>
      <c r="GC21" s="1894"/>
      <c r="GD21" s="1894"/>
      <c r="GE21" s="1894"/>
      <c r="GF21" s="1894"/>
      <c r="GG21" s="1894"/>
      <c r="GH21" s="1894"/>
      <c r="GI21" s="1894"/>
      <c r="GJ21" s="1894"/>
      <c r="GK21" s="1894"/>
      <c r="GL21" s="1894"/>
      <c r="GM21" s="1894"/>
      <c r="GN21" s="1894"/>
      <c r="GO21" s="1894"/>
      <c r="GP21" s="1894"/>
      <c r="GQ21" s="1894"/>
      <c r="GR21" s="1894"/>
      <c r="GS21" s="1894"/>
      <c r="GT21" s="1894"/>
      <c r="GU21" s="1894"/>
      <c r="GV21" s="1894"/>
      <c r="GW21" s="1894"/>
      <c r="GX21" s="1894"/>
      <c r="GY21" s="1894"/>
      <c r="GZ21" s="1894"/>
      <c r="HA21" s="1894"/>
      <c r="HB21" s="1894"/>
      <c r="HC21" s="1894"/>
      <c r="HD21" s="1894"/>
      <c r="HE21" s="1894"/>
      <c r="HF21" s="1894"/>
      <c r="HG21" s="1894"/>
      <c r="HH21" s="1894"/>
      <c r="HI21" s="1894"/>
      <c r="HJ21" s="1894"/>
      <c r="HK21" s="1894"/>
      <c r="HL21" s="1894"/>
      <c r="HM21" s="1894"/>
      <c r="HN21" s="1894"/>
      <c r="HO21" s="1894"/>
      <c r="HP21" s="1894"/>
      <c r="HQ21" s="1894"/>
      <c r="HR21" s="1894"/>
      <c r="HS21" s="1894"/>
      <c r="HT21" s="1894"/>
      <c r="HU21" s="1894"/>
      <c r="HV21" s="1894"/>
      <c r="HW21" s="1894"/>
      <c r="HX21" s="1894"/>
      <c r="HY21" s="1894"/>
      <c r="HZ21" s="1894"/>
      <c r="IA21" s="1894"/>
      <c r="IB21" s="1894"/>
      <c r="IC21" s="1894"/>
      <c r="ID21" s="1894"/>
      <c r="IE21" s="1894"/>
      <c r="IF21" s="1894"/>
      <c r="IG21" s="1894"/>
      <c r="IH21" s="1894"/>
      <c r="II21" s="1894"/>
      <c r="IJ21" s="1894"/>
    </row>
    <row r="22" spans="1:244" ht="16.5" thickBot="1" x14ac:dyDescent="0.3">
      <c r="B22" s="127"/>
      <c r="C22" s="1939"/>
      <c r="D22" s="1939"/>
      <c r="E22" s="1939"/>
      <c r="F22" s="1939"/>
      <c r="G22" s="1940"/>
      <c r="H22" s="797" t="s">
        <v>533</v>
      </c>
      <c r="I22" s="129" t="s">
        <v>534</v>
      </c>
      <c r="J22" s="129" t="s">
        <v>535</v>
      </c>
      <c r="K22" s="129" t="s">
        <v>850</v>
      </c>
      <c r="L22" s="1945" t="s">
        <v>850</v>
      </c>
    </row>
    <row r="23" spans="1:244" ht="17.25" thickTop="1" thickBot="1" x14ac:dyDescent="0.3">
      <c r="B23" s="2079" t="s">
        <v>840</v>
      </c>
      <c r="C23" s="2080"/>
      <c r="D23" s="1942"/>
      <c r="E23" s="1942"/>
      <c r="F23" s="1942"/>
      <c r="G23" s="1943"/>
      <c r="H23" s="1944" t="str">
        <f>+CoD!D12</f>
        <v>A+</v>
      </c>
      <c r="I23" s="1946" t="str">
        <f>+CoD!E12</f>
        <v>A+</v>
      </c>
      <c r="J23" s="1946" t="str">
        <f>+CoD!F12</f>
        <v>A+</v>
      </c>
      <c r="K23" s="1946"/>
      <c r="L23" s="1941"/>
    </row>
    <row r="24" spans="1:244" x14ac:dyDescent="0.25">
      <c r="J24" s="122" t="s">
        <v>1412</v>
      </c>
    </row>
  </sheetData>
  <mergeCells count="10">
    <mergeCell ref="B23:C23"/>
    <mergeCell ref="B2:L2"/>
    <mergeCell ref="B17:E17"/>
    <mergeCell ref="F17:H17"/>
    <mergeCell ref="I17:J17"/>
    <mergeCell ref="K17:L17"/>
    <mergeCell ref="B18:E18"/>
    <mergeCell ref="F18:H18"/>
    <mergeCell ref="I18:J18"/>
    <mergeCell ref="K18:L18"/>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8">
    <tabColor theme="1"/>
  </sheetPr>
  <dimension ref="B1:U159"/>
  <sheetViews>
    <sheetView topLeftCell="A133" zoomScale="118" zoomScaleNormal="118" workbookViewId="0">
      <selection activeCell="N133" sqref="N133"/>
    </sheetView>
  </sheetViews>
  <sheetFormatPr defaultColWidth="9.140625" defaultRowHeight="15" outlineLevelRow="1" x14ac:dyDescent="0.25"/>
  <cols>
    <col min="1" max="1" width="3.7109375" style="1" customWidth="1"/>
    <col min="2" max="2" width="3.85546875" style="4" customWidth="1"/>
    <col min="3" max="3" width="35.28515625" style="1" customWidth="1"/>
    <col min="4" max="4" width="8.7109375" style="2" customWidth="1"/>
    <col min="5" max="6" width="9.7109375" style="2" bestFit="1" customWidth="1"/>
    <col min="7" max="7" width="10" style="2" customWidth="1"/>
    <col min="8" max="8" width="12.5703125" style="2" customWidth="1"/>
    <col min="9" max="9" width="9.7109375" style="2" bestFit="1" customWidth="1"/>
    <col min="10" max="10" width="9.7109375" style="2" customWidth="1"/>
    <col min="11" max="11" width="9.7109375" style="2" bestFit="1" customWidth="1"/>
    <col min="12" max="12" width="9.7109375" style="1" bestFit="1" customWidth="1"/>
    <col min="13" max="13" width="10.7109375" style="1" customWidth="1"/>
    <col min="14" max="14" width="12.140625" style="1" customWidth="1"/>
    <col min="15" max="16" width="12.140625" style="1" bestFit="1" customWidth="1"/>
    <col min="17" max="18" width="9.7109375" style="1" bestFit="1" customWidth="1"/>
    <col min="19" max="19" width="11.140625" style="1" bestFit="1" customWidth="1"/>
    <col min="20" max="21" width="9.28515625" style="1" bestFit="1" customWidth="1"/>
    <col min="22" max="23" width="9.140625" style="1"/>
    <col min="24" max="24" width="10.7109375" style="1" customWidth="1"/>
    <col min="25" max="16384" width="9.140625" style="1"/>
  </cols>
  <sheetData>
    <row r="1" spans="2:21" ht="7.5" customHeight="1" x14ac:dyDescent="0.25"/>
    <row r="2" spans="2:21" s="4" customFormat="1" x14ac:dyDescent="0.25">
      <c r="D2" s="6"/>
      <c r="E2" s="6"/>
      <c r="F2" s="6"/>
      <c r="G2" s="6"/>
      <c r="H2" s="6"/>
      <c r="I2" s="314"/>
      <c r="J2" s="315" t="s">
        <v>232</v>
      </c>
      <c r="K2" s="316"/>
      <c r="M2" s="317"/>
      <c r="N2" s="315" t="s">
        <v>233</v>
      </c>
      <c r="O2" s="316"/>
      <c r="Q2" s="318"/>
      <c r="R2" s="315" t="s">
        <v>263</v>
      </c>
    </row>
    <row r="3" spans="2:21" ht="7.5" customHeight="1" x14ac:dyDescent="0.25">
      <c r="O3" s="485"/>
      <c r="P3" s="486"/>
      <c r="Q3" s="487"/>
      <c r="R3" s="485"/>
      <c r="S3" s="486"/>
      <c r="T3" s="487"/>
    </row>
    <row r="4" spans="2:21" s="1534" customFormat="1" ht="21.75" thickBot="1" x14ac:dyDescent="0.4">
      <c r="B4" s="1533"/>
      <c r="C4" s="1262" t="s">
        <v>250</v>
      </c>
      <c r="D4" s="1263"/>
      <c r="E4" s="1263"/>
      <c r="F4" s="1263"/>
      <c r="G4" s="1263"/>
      <c r="H4" s="1263"/>
      <c r="I4" s="1263"/>
      <c r="J4" s="1263"/>
      <c r="K4" s="1263"/>
      <c r="L4" s="1264"/>
      <c r="M4" s="1264"/>
      <c r="N4" s="1264"/>
      <c r="O4" s="1265"/>
      <c r="P4" s="1266"/>
      <c r="Q4" s="1265"/>
      <c r="R4" s="1265"/>
      <c r="S4" s="1266"/>
      <c r="T4" s="1266"/>
      <c r="U4" s="1266"/>
    </row>
    <row r="5" spans="2:21" s="532" customFormat="1" ht="9.75" customHeight="1" thickTop="1" thickBot="1" x14ac:dyDescent="0.3">
      <c r="B5" s="526"/>
      <c r="C5" s="527"/>
      <c r="D5" s="528"/>
      <c r="E5" s="528"/>
      <c r="F5" s="528"/>
      <c r="G5" s="528"/>
      <c r="H5" s="528"/>
      <c r="I5" s="528"/>
      <c r="J5" s="528"/>
      <c r="K5" s="528"/>
      <c r="L5" s="529"/>
      <c r="M5" s="529"/>
      <c r="N5" s="529"/>
      <c r="O5" s="530"/>
      <c r="P5" s="531"/>
      <c r="Q5" s="530"/>
      <c r="R5" s="530"/>
      <c r="S5" s="531"/>
      <c r="T5" s="531"/>
    </row>
    <row r="6" spans="2:21" s="319" customFormat="1" ht="19.5" thickBot="1" x14ac:dyDescent="0.35">
      <c r="B6" s="1280" t="s">
        <v>251</v>
      </c>
      <c r="C6" s="1281" t="s">
        <v>1177</v>
      </c>
      <c r="D6" s="1282"/>
      <c r="E6" s="1282"/>
      <c r="F6" s="1282"/>
      <c r="G6" s="1283"/>
      <c r="H6" s="1284"/>
      <c r="I6" s="1285"/>
      <c r="J6" s="1285"/>
      <c r="K6" s="1285"/>
      <c r="L6" s="1286"/>
      <c r="M6" s="1286"/>
      <c r="N6" s="1286"/>
      <c r="O6" s="1286"/>
      <c r="P6" s="1286"/>
      <c r="Q6" s="1286"/>
      <c r="R6" s="1286"/>
      <c r="S6" s="1286"/>
      <c r="T6" s="1286"/>
      <c r="U6" s="1287"/>
    </row>
    <row r="7" spans="2:21" s="4" customFormat="1" outlineLevel="1" x14ac:dyDescent="0.25">
      <c r="C7" s="240" t="s">
        <v>252</v>
      </c>
      <c r="D7" s="6"/>
      <c r="E7" s="6"/>
      <c r="F7" s="6"/>
      <c r="G7" s="6"/>
      <c r="H7" s="6"/>
      <c r="I7" s="6"/>
      <c r="J7" s="6"/>
      <c r="K7" s="6"/>
      <c r="T7" s="1043"/>
      <c r="U7" s="526"/>
    </row>
    <row r="8" spans="2:21" s="4" customFormat="1" ht="15.75" outlineLevel="1" thickBot="1" x14ac:dyDescent="0.3">
      <c r="C8" s="56" t="s">
        <v>238</v>
      </c>
      <c r="D8" s="57" t="str">
        <f>LEFT(Mali!C53,4)</f>
        <v>2008</v>
      </c>
      <c r="E8" s="20" t="str">
        <f>LEFT(Mali!D53,4)</f>
        <v>2009</v>
      </c>
      <c r="F8" s="20" t="str">
        <f>LEFT(Mali!E53,4)</f>
        <v>2010</v>
      </c>
      <c r="G8" s="20" t="str">
        <f>LEFT(Mali!F53,4)</f>
        <v>2011</v>
      </c>
      <c r="H8" s="20" t="str">
        <f>LEFT(Mali!G53,4)</f>
        <v>2012</v>
      </c>
      <c r="I8" s="20" t="str">
        <f>LEFT(Mali!H53,4)</f>
        <v>2013</v>
      </c>
      <c r="J8" s="20" t="str">
        <f>LEFT(Mali!I53,4)</f>
        <v>2014</v>
      </c>
      <c r="K8" s="21" t="str">
        <f>LEFT(Mali!J53,4)</f>
        <v>2015</v>
      </c>
      <c r="M8" s="514" t="s">
        <v>269</v>
      </c>
      <c r="N8" s="1044"/>
      <c r="O8" s="1045" t="str">
        <f>UFRS!C4</f>
        <v>TL</v>
      </c>
    </row>
    <row r="9" spans="2:21" s="4" customFormat="1" outlineLevel="1" x14ac:dyDescent="0.25">
      <c r="C9" s="22" t="s">
        <v>239</v>
      </c>
      <c r="D9" s="68">
        <f>UFRS!C153/1000000</f>
        <v>3066.2941944054446</v>
      </c>
      <c r="E9" s="5">
        <f>UFRS!D153/1000000</f>
        <v>3384.5010000000002</v>
      </c>
      <c r="F9" s="5">
        <f>UFRS!E153/1000000</f>
        <v>3547.277</v>
      </c>
      <c r="G9" s="5">
        <f>UFRS!F153/1000000</f>
        <v>4125.2340000000004</v>
      </c>
      <c r="H9" s="5">
        <f>UFRS!G153/1000000</f>
        <v>4628.4290000000001</v>
      </c>
      <c r="I9" s="5">
        <f>UFRS!H153/1000000</f>
        <v>4908.6719999999996</v>
      </c>
      <c r="J9" s="5">
        <f>UFRS!I153/1000000</f>
        <v>5179.326</v>
      </c>
      <c r="K9" s="69">
        <f>UFRS!J153/1000000</f>
        <v>6113.5169999999998</v>
      </c>
    </row>
    <row r="10" spans="2:21" s="4" customFormat="1" outlineLevel="1" x14ac:dyDescent="0.25">
      <c r="C10" s="22" t="s">
        <v>240</v>
      </c>
      <c r="D10" s="68">
        <f>UFRS!C154/1000000</f>
        <v>3709.2438055945549</v>
      </c>
      <c r="E10" s="5">
        <f>UFRS!D154/1000000</f>
        <v>3802.2449999999999</v>
      </c>
      <c r="F10" s="5">
        <f>UFRS!E154/1000000</f>
        <v>3841.7150000000001</v>
      </c>
      <c r="G10" s="5">
        <f>UFRS!F154/1000000</f>
        <v>4913.7269999999999</v>
      </c>
      <c r="H10" s="5">
        <f>UFRS!G154/1000000</f>
        <v>6788.21</v>
      </c>
      <c r="I10" s="5">
        <f>UFRS!H154/1000000</f>
        <v>7286.5249999999996</v>
      </c>
      <c r="J10" s="5">
        <f>UFRS!I154/1000000</f>
        <v>8762.3109999999997</v>
      </c>
      <c r="K10" s="69">
        <f>UFRS!J154/1000000</f>
        <v>9791.5840000000007</v>
      </c>
    </row>
    <row r="11" spans="2:21" s="4" customFormat="1" outlineLevel="1" x14ac:dyDescent="0.25">
      <c r="C11" s="29" t="s">
        <v>241</v>
      </c>
      <c r="D11" s="1046">
        <f>UFRS!C155/1000000</f>
        <v>0</v>
      </c>
      <c r="E11" s="80">
        <f>UFRS!D155/1000000</f>
        <v>0</v>
      </c>
      <c r="F11" s="5">
        <f>UFRS!E155/1000000</f>
        <v>0</v>
      </c>
      <c r="G11" s="80">
        <f>UFRS!F155/1000000</f>
        <v>0</v>
      </c>
      <c r="H11" s="80">
        <f>UFRS!G155/1000000</f>
        <v>0</v>
      </c>
      <c r="I11" s="80">
        <f>UFRS!H155/1000000</f>
        <v>0</v>
      </c>
      <c r="J11" s="80">
        <f>UFRS!I155/1000000</f>
        <v>0</v>
      </c>
      <c r="K11" s="1047">
        <f>UFRS!J155/1000000</f>
        <v>0</v>
      </c>
    </row>
    <row r="12" spans="2:21" s="4" customFormat="1" outlineLevel="1" x14ac:dyDescent="0.25">
      <c r="C12" s="517" t="s">
        <v>238</v>
      </c>
      <c r="D12" s="1048">
        <f>SUM(D9:D11)</f>
        <v>6775.5379999999996</v>
      </c>
      <c r="E12" s="860">
        <f t="shared" ref="E12:K12" si="0">SUM(E9:E11)</f>
        <v>7186.7460000000001</v>
      </c>
      <c r="F12" s="860">
        <f t="shared" si="0"/>
        <v>7388.9920000000002</v>
      </c>
      <c r="G12" s="860">
        <f t="shared" si="0"/>
        <v>9038.9609999999993</v>
      </c>
      <c r="H12" s="860">
        <f t="shared" si="0"/>
        <v>11416.638999999999</v>
      </c>
      <c r="I12" s="860">
        <f t="shared" si="0"/>
        <v>12195.197</v>
      </c>
      <c r="J12" s="860">
        <f t="shared" si="0"/>
        <v>13941.636999999999</v>
      </c>
      <c r="K12" s="861">
        <f t="shared" si="0"/>
        <v>15905.101000000001</v>
      </c>
    </row>
    <row r="13" spans="2:21" s="4" customFormat="1" ht="12.75" customHeight="1" outlineLevel="1" x14ac:dyDescent="0.25">
      <c r="D13" s="6"/>
      <c r="E13" s="6"/>
      <c r="F13" s="6"/>
      <c r="G13" s="6"/>
      <c r="H13" s="6"/>
      <c r="I13" s="6"/>
      <c r="J13" s="6"/>
      <c r="K13" s="6"/>
    </row>
    <row r="14" spans="2:21" s="4" customFormat="1" outlineLevel="1" x14ac:dyDescent="0.25">
      <c r="C14" s="518" t="s">
        <v>852</v>
      </c>
      <c r="D14" s="519" t="str">
        <f t="shared" ref="D14:K14" si="1">D8</f>
        <v>2008</v>
      </c>
      <c r="E14" s="520" t="str">
        <f t="shared" si="1"/>
        <v>2009</v>
      </c>
      <c r="F14" s="520" t="str">
        <f t="shared" si="1"/>
        <v>2010</v>
      </c>
      <c r="G14" s="520" t="str">
        <f t="shared" si="1"/>
        <v>2011</v>
      </c>
      <c r="H14" s="520" t="str">
        <f t="shared" si="1"/>
        <v>2012</v>
      </c>
      <c r="I14" s="520" t="str">
        <f t="shared" si="1"/>
        <v>2013</v>
      </c>
      <c r="J14" s="520" t="str">
        <f t="shared" si="1"/>
        <v>2014</v>
      </c>
      <c r="K14" s="521" t="str">
        <f t="shared" si="1"/>
        <v>2015</v>
      </c>
      <c r="M14" s="2090" t="s">
        <v>854</v>
      </c>
      <c r="N14" s="2091"/>
      <c r="O14" s="2091"/>
      <c r="P14" s="2091"/>
      <c r="Q14" s="2091"/>
      <c r="R14" s="2091"/>
      <c r="S14" s="2092"/>
    </row>
    <row r="15" spans="2:21" s="4" customFormat="1" outlineLevel="1" x14ac:dyDescent="0.25">
      <c r="C15" s="1049" t="s">
        <v>238</v>
      </c>
      <c r="D15" s="1050"/>
      <c r="E15" s="1051"/>
      <c r="F15" s="1051"/>
      <c r="G15" s="1051"/>
      <c r="H15" s="1051"/>
      <c r="I15" s="1051"/>
      <c r="J15" s="1051"/>
      <c r="K15" s="1052"/>
      <c r="M15" s="1053" t="s">
        <v>248</v>
      </c>
      <c r="N15" s="1054" t="s">
        <v>247</v>
      </c>
      <c r="O15" s="1054" t="s">
        <v>243</v>
      </c>
      <c r="P15" s="1054" t="s">
        <v>244</v>
      </c>
      <c r="Q15" s="1054" t="s">
        <v>245</v>
      </c>
      <c r="R15" s="1054" t="s">
        <v>246</v>
      </c>
      <c r="S15" s="1055" t="s">
        <v>249</v>
      </c>
    </row>
    <row r="16" spans="2:21" s="4" customFormat="1" outlineLevel="1" x14ac:dyDescent="0.25">
      <c r="C16" s="354" t="s">
        <v>239</v>
      </c>
      <c r="D16" s="1056"/>
      <c r="E16" s="537">
        <f>IF(D9&gt;0,E9/D9-1,"")</f>
        <v>0.10377569320489033</v>
      </c>
      <c r="F16" s="537">
        <f t="shared" ref="F16:K16" si="2">IF(E9&gt;0,F9/E9-1,"")</f>
        <v>4.8094534467562511E-2</v>
      </c>
      <c r="G16" s="537">
        <f t="shared" si="2"/>
        <v>0.16292976274477589</v>
      </c>
      <c r="H16" s="537">
        <f t="shared" si="2"/>
        <v>0.12197974708828641</v>
      </c>
      <c r="I16" s="537">
        <f t="shared" si="2"/>
        <v>6.0548190325486084E-2</v>
      </c>
      <c r="J16" s="537">
        <f t="shared" si="2"/>
        <v>5.5137927325354052E-2</v>
      </c>
      <c r="K16" s="1057">
        <f t="shared" si="2"/>
        <v>0.18036922178677295</v>
      </c>
      <c r="M16" s="1058">
        <f>(K9/E9)^(1/6)-1</f>
        <v>0.10356879812512698</v>
      </c>
      <c r="N16" s="1059">
        <f>(K9/F9)^(1/5)-1</f>
        <v>0.11501113441495892</v>
      </c>
      <c r="O16" s="1059">
        <f>(K9/G9)^(1/4)-1</f>
        <v>0.10334322834563525</v>
      </c>
      <c r="P16" s="1059">
        <f>(K9/H9)^(1/3)-1</f>
        <v>9.7200102193542026E-2</v>
      </c>
      <c r="Q16" s="1059">
        <f>(K9/I9)^(1/2)-1</f>
        <v>0.11599835759499966</v>
      </c>
      <c r="R16" s="1059">
        <f>(K9/J9)^(1/1)-1</f>
        <v>0.18036922178677295</v>
      </c>
      <c r="S16" s="1060">
        <f>SUMPRODUCT(M16:R16,$M$22:$R$22)/SUM($M$22:$R$22)</f>
        <v>0.12831563235532167</v>
      </c>
    </row>
    <row r="17" spans="3:19" s="4" customFormat="1" outlineLevel="1" x14ac:dyDescent="0.25">
      <c r="C17" s="354" t="s">
        <v>240</v>
      </c>
      <c r="D17" s="1056"/>
      <c r="E17" s="537">
        <f t="shared" ref="E17:K19" si="3">IF(D10&gt;0,E10/D10-1,"")</f>
        <v>2.5072817878720732E-2</v>
      </c>
      <c r="F17" s="537">
        <f t="shared" si="3"/>
        <v>1.0380709291484491E-2</v>
      </c>
      <c r="G17" s="537">
        <f t="shared" si="3"/>
        <v>0.27904516602611062</v>
      </c>
      <c r="H17" s="537">
        <f t="shared" si="3"/>
        <v>0.38147886522796237</v>
      </c>
      <c r="I17" s="537">
        <f t="shared" si="3"/>
        <v>7.3408895717722356E-2</v>
      </c>
      <c r="J17" s="537">
        <f t="shared" si="3"/>
        <v>0.20253632561474788</v>
      </c>
      <c r="K17" s="1057">
        <f t="shared" si="3"/>
        <v>0.1174659287943558</v>
      </c>
      <c r="M17" s="1056">
        <f>(K10/E10)^(1/6)-1</f>
        <v>0.17076251635216089</v>
      </c>
      <c r="N17" s="537">
        <f>(K10/F10)^(1/5)-1</f>
        <v>0.20577302037278011</v>
      </c>
      <c r="O17" s="537">
        <f>(K10/G10)^(1/4)-1</f>
        <v>0.1881204813211943</v>
      </c>
      <c r="P17" s="537">
        <f>(K10/H10)^(1/3)-1</f>
        <v>0.12988062526883559</v>
      </c>
      <c r="Q17" s="537">
        <f>(K10/I10)^(1/2)-1</f>
        <v>0.15922101948335809</v>
      </c>
      <c r="R17" s="537">
        <f>(K10/J10)^(1/1)-1</f>
        <v>0.1174659287943558</v>
      </c>
      <c r="S17" s="1061">
        <f>SUMPRODUCT(M17:R17,$M$22:$R$22)/SUM($M$22:$R$22)</f>
        <v>0.15081396058664626</v>
      </c>
    </row>
    <row r="18" spans="3:19" s="4" customFormat="1" outlineLevel="1" x14ac:dyDescent="0.25">
      <c r="C18" s="357" t="s">
        <v>241</v>
      </c>
      <c r="D18" s="1062"/>
      <c r="E18" s="537" t="str">
        <f t="shared" ref="E18:K18" si="4">IF(D11&gt;0,E11/D11-1,"")</f>
        <v/>
      </c>
      <c r="F18" s="537" t="str">
        <f t="shared" si="4"/>
        <v/>
      </c>
      <c r="G18" s="537" t="str">
        <f t="shared" si="4"/>
        <v/>
      </c>
      <c r="H18" s="537" t="str">
        <f t="shared" si="4"/>
        <v/>
      </c>
      <c r="I18" s="537" t="str">
        <f t="shared" si="4"/>
        <v/>
      </c>
      <c r="J18" s="537" t="str">
        <f t="shared" si="4"/>
        <v/>
      </c>
      <c r="K18" s="1057" t="str">
        <f t="shared" si="4"/>
        <v/>
      </c>
      <c r="M18" s="1056" t="e">
        <f>(K11/E11)^(1/6)-1</f>
        <v>#DIV/0!</v>
      </c>
      <c r="N18" s="537" t="e">
        <f>(K11/F11)^(1/5)-1</f>
        <v>#DIV/0!</v>
      </c>
      <c r="O18" s="537" t="e">
        <f>(K11/G11)^(1/4)-1</f>
        <v>#DIV/0!</v>
      </c>
      <c r="P18" s="537" t="e">
        <f>(K11/H11)^(1/3)-1</f>
        <v>#DIV/0!</v>
      </c>
      <c r="Q18" s="537" t="e">
        <f>(K11/I11)^(1/2)-1</f>
        <v>#DIV/0!</v>
      </c>
      <c r="R18" s="537" t="e">
        <f>(K11/J11)^(1/1)-1</f>
        <v>#DIV/0!</v>
      </c>
      <c r="S18" s="1061" t="e">
        <f>SUMPRODUCT(M18:R18,$M$22:$R$22)/SUM($M$22:$R$22)</f>
        <v>#DIV/0!</v>
      </c>
    </row>
    <row r="19" spans="3:19" s="4" customFormat="1" outlineLevel="1" x14ac:dyDescent="0.25">
      <c r="C19" s="1063" t="s">
        <v>238</v>
      </c>
      <c r="D19" s="1064"/>
      <c r="E19" s="1065">
        <f t="shared" si="3"/>
        <v>6.0690088373794193E-2</v>
      </c>
      <c r="F19" s="1066">
        <f t="shared" si="3"/>
        <v>2.8141526081483903E-2</v>
      </c>
      <c r="G19" s="1066">
        <f t="shared" si="3"/>
        <v>0.22330095904827063</v>
      </c>
      <c r="H19" s="1066">
        <f t="shared" si="3"/>
        <v>0.2630477109039413</v>
      </c>
      <c r="I19" s="1066">
        <f t="shared" si="3"/>
        <v>6.8195026574809026E-2</v>
      </c>
      <c r="J19" s="1066">
        <f t="shared" si="3"/>
        <v>0.14320719870289911</v>
      </c>
      <c r="K19" s="1067">
        <f t="shared" si="3"/>
        <v>0.14083453757976927</v>
      </c>
      <c r="M19" s="870">
        <f>(K12/E12)^(1/6)-1</f>
        <v>0.14156511628686808</v>
      </c>
      <c r="N19" s="1068">
        <f>(K12/F12)^(1/5)-1</f>
        <v>0.16570926165189159</v>
      </c>
      <c r="O19" s="1068">
        <f>(K12/G12)^(1/4)-1</f>
        <v>0.15174007825761682</v>
      </c>
      <c r="P19" s="1068">
        <f>(K12/H12)^(1/3)-1</f>
        <v>0.11686167274933257</v>
      </c>
      <c r="Q19" s="1068">
        <f>(K12/I12)^(1/2)-1</f>
        <v>0.14202025196144619</v>
      </c>
      <c r="R19" s="1068">
        <f>(K12/J12)^(1/1)-1</f>
        <v>0.14083453757976927</v>
      </c>
      <c r="S19" s="1069">
        <f>SUMPRODUCT(M19:R19,$M$22:$R$22)/SUM($M$22:$R$22)</f>
        <v>0.14051233574507993</v>
      </c>
    </row>
    <row r="20" spans="3:19" s="4" customFormat="1" ht="9" customHeight="1" outlineLevel="1" x14ac:dyDescent="0.25">
      <c r="D20" s="6"/>
      <c r="E20" s="6"/>
      <c r="F20" s="6"/>
      <c r="G20" s="6"/>
      <c r="H20" s="6"/>
      <c r="I20" s="6"/>
      <c r="J20" s="6"/>
      <c r="K20" s="6"/>
      <c r="M20" s="22"/>
      <c r="N20" s="99"/>
      <c r="O20" s="99"/>
      <c r="P20" s="99"/>
      <c r="Q20" s="99"/>
      <c r="R20" s="99"/>
      <c r="S20" s="1070"/>
    </row>
    <row r="21" spans="3:19" s="4" customFormat="1" outlineLevel="1" x14ac:dyDescent="0.25">
      <c r="C21" s="518" t="s">
        <v>853</v>
      </c>
      <c r="D21" s="519" t="str">
        <f>D14</f>
        <v>2008</v>
      </c>
      <c r="E21" s="520" t="str">
        <f t="shared" ref="E21:K21" si="5">E14</f>
        <v>2009</v>
      </c>
      <c r="F21" s="520" t="str">
        <f t="shared" si="5"/>
        <v>2010</v>
      </c>
      <c r="G21" s="520" t="str">
        <f t="shared" si="5"/>
        <v>2011</v>
      </c>
      <c r="H21" s="520" t="str">
        <f t="shared" si="5"/>
        <v>2012</v>
      </c>
      <c r="I21" s="520" t="str">
        <f t="shared" si="5"/>
        <v>2013</v>
      </c>
      <c r="J21" s="520" t="str">
        <f t="shared" si="5"/>
        <v>2014</v>
      </c>
      <c r="K21" s="521" t="str">
        <f t="shared" si="5"/>
        <v>2015</v>
      </c>
      <c r="M21" s="516"/>
      <c r="N21" s="1071"/>
      <c r="O21" s="1071"/>
      <c r="P21" s="1071"/>
      <c r="Q21" s="1071"/>
      <c r="R21" s="1071"/>
      <c r="S21" s="1072"/>
    </row>
    <row r="22" spans="3:19" s="4" customFormat="1" outlineLevel="1" x14ac:dyDescent="0.25">
      <c r="C22" s="1049" t="s">
        <v>238</v>
      </c>
      <c r="D22" s="1050"/>
      <c r="E22" s="1051"/>
      <c r="F22" s="1051"/>
      <c r="G22" s="1051"/>
      <c r="H22" s="1051"/>
      <c r="I22" s="1051"/>
      <c r="J22" s="1051"/>
      <c r="K22" s="1052"/>
      <c r="M22" s="1073">
        <f>1</f>
        <v>1</v>
      </c>
      <c r="N22" s="1074">
        <f>M22+1</f>
        <v>2</v>
      </c>
      <c r="O22" s="1074">
        <f>N22+1</f>
        <v>3</v>
      </c>
      <c r="P22" s="1074">
        <f>O22+1</f>
        <v>4</v>
      </c>
      <c r="Q22" s="1074">
        <f>P22+1</f>
        <v>5</v>
      </c>
      <c r="R22" s="1074">
        <f>Q22+1</f>
        <v>6</v>
      </c>
      <c r="S22" s="1075" t="s">
        <v>249</v>
      </c>
    </row>
    <row r="23" spans="3:19" s="4" customFormat="1" outlineLevel="1" x14ac:dyDescent="0.25">
      <c r="C23" s="354" t="s">
        <v>239</v>
      </c>
      <c r="D23" s="1056" t="str">
        <f>IF(D16&gt;0,(D16-Vars!D6)/(1+Vars!D6),"")</f>
        <v/>
      </c>
      <c r="E23" s="537">
        <f>IF($O$8="TL",(E16-Vars!$F$6)/(1+Vars!$F$6),(E16-0)/(1+0))</f>
        <v>1.3820270552020234E-2</v>
      </c>
      <c r="F23" s="537">
        <f>IF($O$8="TL",(F16-Vars!$F$6)/(1+Vars!$F$6),(F16-0)/(1+0))</f>
        <v>-3.7322989589738405E-2</v>
      </c>
      <c r="G23" s="537">
        <f>IF($O$8="TL",(G16-Vars!$G$6)/(1+Vars!$G$6),(G16-0)/(1+0))</f>
        <v>2.6181474199568431E-2</v>
      </c>
      <c r="H23" s="537">
        <f>IF($O$8="TL",(H16-Vars!$H$6)/(1+Vars!$H$6),(H16-0)/(1+0))</f>
        <v>9.5120426881327755E-2</v>
      </c>
      <c r="I23" s="537">
        <f>IF($O$8="TL",(I16-Vars!$I$6)/(1+Vars!$I$6),(I16-0)/(1+0))</f>
        <v>-8.5695927488376109E-3</v>
      </c>
      <c r="J23" s="537">
        <f>IF($O$8="TL",(J16-Vars!$J$6)/(1+Vars!$J$6),(J16-0)/(1+0))</f>
        <v>-7.9448609009296622E-3</v>
      </c>
      <c r="K23" s="1057">
        <f>IF($O$8="TL",(K16-Vars!$K$6)/(1+Vars!$K$6),(K16-0)/(1+0))</f>
        <v>0.11659491101918075</v>
      </c>
      <c r="M23" s="1076">
        <f>((1+F23)*(1+G23)*(1+H23)*(1+I23)*(1+J23)*(1+K23))^(1/6)-1</f>
        <v>2.9145367275666079E-2</v>
      </c>
      <c r="N23" s="537">
        <f>((1+G23)*(1+H23)*(1+I23)*(1+J23)*(1+K23))^(1/5)-1</f>
        <v>4.2979921725638581E-2</v>
      </c>
      <c r="O23" s="537">
        <f>((1+H23)*(1+I23)*(1+J23)*(1+K23))^(1/4)-1</f>
        <v>4.7222325927448905E-2</v>
      </c>
      <c r="P23" s="537">
        <f>((1+I23)*(1+J23)*(1+K23))^(1/3)-1</f>
        <v>3.1726447152052195E-2</v>
      </c>
      <c r="Q23" s="537">
        <f>((1+J23)*(1+K23))^(1/2)-1</f>
        <v>5.2484546094833329E-2</v>
      </c>
      <c r="R23" s="537">
        <f>((1+K23))^(1/1)-1</f>
        <v>0.11659491101918085</v>
      </c>
      <c r="S23" s="1060">
        <f>SUMPRODUCT(M23:R23,$M$22:$R$22)/SUM($M$22:$R$22)</f>
        <v>6.4079532081273829E-2</v>
      </c>
    </row>
    <row r="24" spans="3:19" s="4" customFormat="1" outlineLevel="1" x14ac:dyDescent="0.25">
      <c r="C24" s="354" t="s">
        <v>240</v>
      </c>
      <c r="D24" s="1056"/>
      <c r="E24" s="537">
        <f>IF($O$8="TL",(E17-Vars!$F$6)/(1+Vars!$F$6),(E17-0)/(1+0))</f>
        <v>-5.8468484171977766E-2</v>
      </c>
      <c r="F24" s="537">
        <f>IF($O$8="TL",(F17-Vars!$F$6)/(1+Vars!$F$6),(F17-0)/(1+0))</f>
        <v>-7.1963216475460889E-2</v>
      </c>
      <c r="G24" s="537">
        <f>IF($O$8="TL",(G17-Vars!$G$6)/(1+Vars!$G$6),(G17-0)/(1+0))</f>
        <v>0.12864292933963101</v>
      </c>
      <c r="H24" s="537">
        <f>IF($O$8="TL",(H17-Vars!$H$6)/(1+Vars!$H$6),(H17-0)/(1+0))</f>
        <v>0.3484073384944375</v>
      </c>
      <c r="I24" s="537">
        <f>IF($O$8="TL",(I17-Vars!$I$6)/(1+Vars!$I$6),(I17-0)/(1+0))</f>
        <v>3.4529579479382266E-3</v>
      </c>
      <c r="J24" s="537">
        <f>IF($O$8="TL",(J17-Vars!$J$6)/(1+Vars!$J$6),(J17-0)/(1+0))</f>
        <v>0.13064113314880871</v>
      </c>
      <c r="K24" s="1057">
        <f>IF($O$8="TL",(K17-Vars!$K$6)/(1+Vars!$K$6),(K17-0)/(1+0))</f>
        <v>5.7090227615660523E-2</v>
      </c>
      <c r="M24" s="1076">
        <f>((1+F24)*(1+G24)*(1+H24)*(1+I24)*(1+J24)*(1+K24))^(1/6)-1</f>
        <v>9.1807617187825707E-2</v>
      </c>
      <c r="N24" s="537">
        <f>((1+G24)*(1+H24)*(1+I24)*(1+J24)*(1+K24))^(1/5)-1</f>
        <v>0.12787846828735416</v>
      </c>
      <c r="O24" s="537">
        <f>((1+H24)*(1+I24)*(1+J24)*(1+K24))^(1/4)-1</f>
        <v>0.12768743394277027</v>
      </c>
      <c r="P24" s="537">
        <f>((1+I24)*(1+J24)*(1+K24))^(1/3)-1</f>
        <v>6.2456812466578748E-2</v>
      </c>
      <c r="Q24" s="537">
        <f>((1+J24)*(1+K24))^(1/2)-1</f>
        <v>9.3247315474363601E-2</v>
      </c>
      <c r="R24" s="537">
        <f>((1+K24))^(1/1)-1</f>
        <v>5.7090227615660627E-2</v>
      </c>
      <c r="S24" s="1061">
        <f>SUMPRODUCT(M24:R24,$M$22:$R$22)/SUM($M$22:$R$22)</f>
        <v>8.5201526120140078E-2</v>
      </c>
    </row>
    <row r="25" spans="3:19" s="4" customFormat="1" outlineLevel="1" x14ac:dyDescent="0.25">
      <c r="C25" s="357" t="s">
        <v>241</v>
      </c>
      <c r="D25" s="1062"/>
      <c r="E25" s="537" t="str">
        <f>IF(D18&gt;0,E18/D18-1,"")</f>
        <v/>
      </c>
      <c r="F25" s="537" t="e">
        <f>IF($O$8="TL",(F18-Vars!$F$6)/(1+Vars!$F$6),(F18-0)/(1+0))</f>
        <v>#VALUE!</v>
      </c>
      <c r="G25" s="537" t="e">
        <f>IF($O$8="TL",(G18-Vars!$G$6)/(1+Vars!$G$6),(G18-0)/(1+0))</f>
        <v>#VALUE!</v>
      </c>
      <c r="H25" s="537" t="e">
        <f>IF($O$8="TL",(H18-Vars!$H$6)/(1+Vars!$H$6),(H18-0)/(1+0))</f>
        <v>#VALUE!</v>
      </c>
      <c r="I25" s="537" t="e">
        <f>IF($O$8="TL",(I18-Vars!$I$6)/(1+Vars!$I$6),(I18-0)/(1+0))</f>
        <v>#VALUE!</v>
      </c>
      <c r="J25" s="537" t="e">
        <f>IF($O$8="TL",(J18-Vars!$J$6)/(1+Vars!$J$6),(J18-0)/(1+0))</f>
        <v>#VALUE!</v>
      </c>
      <c r="K25" s="1057" t="e">
        <f>IF($O$8="TL",(K18-Vars!$K$6)/(1+Vars!$K$6),(K18-0)/(1+0))</f>
        <v>#VALUE!</v>
      </c>
      <c r="M25" s="1076" t="e">
        <f>((1+F25)*(1+G25)*(1+H25)*(1+I25)*(1+J25)*(1+K25))^(1/6)-1</f>
        <v>#VALUE!</v>
      </c>
      <c r="N25" s="537" t="e">
        <f>((1+G25)*(1+H25)*(1+I25)*(1+J25)*(1+K25))^(1/5)-1</f>
        <v>#VALUE!</v>
      </c>
      <c r="O25" s="537" t="e">
        <f>((1+H25)*(1+I25)*(1+J25)*(1+K25))^(1/4)-1</f>
        <v>#VALUE!</v>
      </c>
      <c r="P25" s="537" t="e">
        <f>((1+I25)*(1+J25)*(1+K25))^(1/3)-1</f>
        <v>#VALUE!</v>
      </c>
      <c r="Q25" s="537" t="e">
        <f>((1+J25)*(1+K25))^(1/2)-1</f>
        <v>#VALUE!</v>
      </c>
      <c r="R25" s="537" t="e">
        <f>((1+K25))^(1/1)-1</f>
        <v>#VALUE!</v>
      </c>
      <c r="S25" s="1061" t="e">
        <f>SUMPRODUCT(M25:R25,$M$22:$R$22)/SUM($M$22:$R$22)</f>
        <v>#VALUE!</v>
      </c>
    </row>
    <row r="26" spans="3:19" s="4" customFormat="1" outlineLevel="1" x14ac:dyDescent="0.25">
      <c r="C26" s="1063" t="s">
        <v>261</v>
      </c>
      <c r="D26" s="1064"/>
      <c r="E26" s="1065" t="str">
        <f>IF(D19&gt;0,E19/D19-1,"")</f>
        <v/>
      </c>
      <c r="F26" s="1066">
        <f>IF($O$8="TL",(F19-Vars!$F$6)/(1+Vars!$F$6),(F19-0)/(1+0))</f>
        <v>-5.5649869303464758E-2</v>
      </c>
      <c r="G26" s="1066">
        <f>IF($O$8="TL",(G19-Vars!$G$6)/(1+Vars!$G$6),(G19-0)/(1+0))</f>
        <v>7.9453653832920981E-2</v>
      </c>
      <c r="H26" s="1066">
        <f>IF($O$8="TL",(H19-Vars!$H$6)/(1+Vars!$H$6),(H19-0)/(1+0))</f>
        <v>0.23281133365036363</v>
      </c>
      <c r="I26" s="1066">
        <f>IF($O$8="TL",(I19-Vars!$I$6)/(1+Vars!$I$6),(I19-0)/(1+0))</f>
        <v>-1.4211142110330589E-3</v>
      </c>
      <c r="J26" s="1066">
        <f>IF($O$8="TL",(J19-Vars!$J$6)/(1+Vars!$J$6),(J19-0)/(1+0))</f>
        <v>7.4859074967696962E-2</v>
      </c>
      <c r="K26" s="1067">
        <f>IF($O$8="TL",(K19-Vars!$K$6)/(1+Vars!$K$6),(K19-0)/(1+0))</f>
        <v>7.9196251024075348E-2</v>
      </c>
      <c r="M26" s="871">
        <f>((1+F26)*(1+G26)*(1+H26)*(1+I26)*(1+J26)*(1+K26))^(1/6)-1</f>
        <v>6.4579256740574964E-2</v>
      </c>
      <c r="N26" s="1077">
        <f>((1+G26)*(1+H26)*(1+I26)*(1+J26)*(1+K26))^(1/5)-1</f>
        <v>9.0402882039803512E-2</v>
      </c>
      <c r="O26" s="1077">
        <f>((1+H26)*(1+I26)*(1+J26)*(1+K26))^(1/4)-1</f>
        <v>9.3157498619250712E-2</v>
      </c>
      <c r="P26" s="1077">
        <f>((1+I26)*(1+J26)*(1+K26))^(1/3)-1</f>
        <v>5.0214745042655995E-2</v>
      </c>
      <c r="Q26" s="1077">
        <f>((1+J26)*(1+K26))^(1/2)-1</f>
        <v>7.7025479774895711E-2</v>
      </c>
      <c r="R26" s="1077">
        <f>((1+K26))^(1/1)-1</f>
        <v>7.9196251024075348E-2</v>
      </c>
      <c r="S26" s="1069">
        <f>SUMPRODUCT(M26:R26,$M$22:$R$22)/SUM($M$22:$R$22)</f>
        <v>7.5524828660356605E-2</v>
      </c>
    </row>
    <row r="27" spans="3:19" s="4" customFormat="1" outlineLevel="1" x14ac:dyDescent="0.25">
      <c r="C27" s="240"/>
      <c r="D27" s="1078"/>
      <c r="E27" s="1078"/>
      <c r="F27" s="1078"/>
      <c r="G27" s="1078"/>
      <c r="H27" s="1078"/>
      <c r="I27" s="1078"/>
      <c r="J27" s="1078"/>
      <c r="K27" s="1078"/>
      <c r="M27" s="537"/>
      <c r="N27" s="537"/>
      <c r="O27" s="537"/>
      <c r="P27" s="537"/>
      <c r="Q27" s="537"/>
      <c r="R27" s="537"/>
      <c r="S27" s="1079"/>
    </row>
    <row r="28" spans="3:19" s="4" customFormat="1" ht="15.75" customHeight="1" outlineLevel="1" x14ac:dyDescent="0.25">
      <c r="D28" s="6"/>
      <c r="E28" s="6"/>
      <c r="F28" s="6"/>
      <c r="G28" s="6"/>
      <c r="H28" s="6"/>
      <c r="I28" s="6"/>
      <c r="J28" s="6"/>
      <c r="K28" s="6"/>
      <c r="N28" s="2090" t="s">
        <v>262</v>
      </c>
      <c r="O28" s="2092"/>
    </row>
    <row r="29" spans="3:19" s="4" customFormat="1" ht="15.75" outlineLevel="1" thickBot="1" x14ac:dyDescent="0.3">
      <c r="C29" s="56" t="s">
        <v>253</v>
      </c>
      <c r="D29" s="57">
        <f>K8+1</f>
        <v>2016</v>
      </c>
      <c r="E29" s="20">
        <f>D29+1</f>
        <v>2017</v>
      </c>
      <c r="F29" s="20">
        <f t="shared" ref="F29:M29" si="6">E29+1</f>
        <v>2018</v>
      </c>
      <c r="G29" s="20">
        <f t="shared" si="6"/>
        <v>2019</v>
      </c>
      <c r="H29" s="20">
        <f t="shared" si="6"/>
        <v>2020</v>
      </c>
      <c r="I29" s="20">
        <f t="shared" si="6"/>
        <v>2021</v>
      </c>
      <c r="J29" s="20">
        <f t="shared" si="6"/>
        <v>2022</v>
      </c>
      <c r="K29" s="20">
        <f t="shared" si="6"/>
        <v>2023</v>
      </c>
      <c r="L29" s="1080">
        <f t="shared" si="6"/>
        <v>2024</v>
      </c>
      <c r="M29" s="1081">
        <f t="shared" si="6"/>
        <v>2025</v>
      </c>
      <c r="N29" s="1082" t="str">
        <f>CONCATENATE(D29,"-",H29)</f>
        <v>2016-2020</v>
      </c>
      <c r="O29" s="1083" t="str">
        <f>CONCATENATE(I29,"-",M29)</f>
        <v>2021-2025</v>
      </c>
    </row>
    <row r="30" spans="3:19" s="4" customFormat="1" outlineLevel="1" x14ac:dyDescent="0.25">
      <c r="C30" s="22" t="s">
        <v>255</v>
      </c>
      <c r="D30" s="1084">
        <v>0.02</v>
      </c>
      <c r="E30" s="1085">
        <f>D30</f>
        <v>0.02</v>
      </c>
      <c r="F30" s="1085">
        <f t="shared" ref="F30:M31" si="7">E30</f>
        <v>0.02</v>
      </c>
      <c r="G30" s="1085">
        <f t="shared" si="7"/>
        <v>0.02</v>
      </c>
      <c r="H30" s="1085">
        <f t="shared" si="7"/>
        <v>0.02</v>
      </c>
      <c r="I30" s="1085">
        <v>0.01</v>
      </c>
      <c r="J30" s="1085">
        <v>0.01</v>
      </c>
      <c r="K30" s="1085">
        <f t="shared" si="7"/>
        <v>0.01</v>
      </c>
      <c r="L30" s="1086">
        <f t="shared" si="7"/>
        <v>0.01</v>
      </c>
      <c r="M30" s="1087">
        <f t="shared" si="7"/>
        <v>0.01</v>
      </c>
      <c r="N30" s="1088">
        <f t="shared" ref="N30:N36" si="8">((1+D30)*(1+E30)*(1+F30)*(1+H30)*(1+G30))^(1/5)-1</f>
        <v>2.0000000000000018E-2</v>
      </c>
      <c r="O30" s="1089">
        <f t="shared" ref="O30:O36" si="9">((1+I30)*(1+J30)*(1+K30)*(1+L30)*(1+M30))^(1/5)-1</f>
        <v>1.0000000000000009E-2</v>
      </c>
    </row>
    <row r="31" spans="3:19" s="4" customFormat="1" outlineLevel="1" x14ac:dyDescent="0.25">
      <c r="C31" s="22" t="s">
        <v>256</v>
      </c>
      <c r="D31" s="1084">
        <v>0.05</v>
      </c>
      <c r="E31" s="1085">
        <f>D31</f>
        <v>0.05</v>
      </c>
      <c r="F31" s="1085">
        <f>E31</f>
        <v>0.05</v>
      </c>
      <c r="G31" s="1085">
        <f t="shared" si="7"/>
        <v>0.05</v>
      </c>
      <c r="H31" s="1085">
        <f t="shared" si="7"/>
        <v>0.05</v>
      </c>
      <c r="I31" s="1085">
        <v>0.06</v>
      </c>
      <c r="J31" s="1085">
        <v>0.05</v>
      </c>
      <c r="K31" s="1085">
        <v>0.04</v>
      </c>
      <c r="L31" s="1086">
        <v>0.03</v>
      </c>
      <c r="M31" s="1087">
        <v>0.03</v>
      </c>
      <c r="N31" s="1088">
        <f t="shared" si="8"/>
        <v>5.0000000000000044E-2</v>
      </c>
      <c r="O31" s="1090">
        <f t="shared" si="9"/>
        <v>4.1934913143139019E-2</v>
      </c>
    </row>
    <row r="32" spans="3:19" s="4" customFormat="1" outlineLevel="1" x14ac:dyDescent="0.25">
      <c r="C32" s="22" t="s">
        <v>259</v>
      </c>
      <c r="D32" s="1084">
        <v>0</v>
      </c>
      <c r="E32" s="1085">
        <v>0</v>
      </c>
      <c r="F32" s="1085">
        <v>0</v>
      </c>
      <c r="G32" s="1085">
        <v>0</v>
      </c>
      <c r="H32" s="1085">
        <v>0</v>
      </c>
      <c r="I32" s="1085">
        <v>0</v>
      </c>
      <c r="J32" s="1085">
        <v>0</v>
      </c>
      <c r="K32" s="1085">
        <v>0</v>
      </c>
      <c r="L32" s="1086">
        <v>0</v>
      </c>
      <c r="M32" s="1087">
        <v>0</v>
      </c>
      <c r="N32" s="1088">
        <f t="shared" si="8"/>
        <v>0</v>
      </c>
      <c r="O32" s="1090">
        <f t="shared" si="9"/>
        <v>0</v>
      </c>
    </row>
    <row r="33" spans="2:21" s="4" customFormat="1" outlineLevel="1" x14ac:dyDescent="0.25">
      <c r="C33" s="22" t="s">
        <v>254</v>
      </c>
      <c r="D33" s="1091">
        <f>IF($O$8="TL",Vars!L6,0)</f>
        <v>0.08</v>
      </c>
      <c r="E33" s="1092">
        <f>IF($O$8="TL",Vars!M6,0)</f>
        <v>7.0000000000000007E-2</v>
      </c>
      <c r="F33" s="1092">
        <f>IF($O$8="TL",Vars!N6,0)</f>
        <v>0.06</v>
      </c>
      <c r="G33" s="1092">
        <f>IF($O$8="TL",Vars!O6,0)</f>
        <v>0.06</v>
      </c>
      <c r="H33" s="1092">
        <f>IF($O$8="TL",Vars!P6,0)</f>
        <v>0.06</v>
      </c>
      <c r="I33" s="1092">
        <f>IF($O$8="TL",Vars!Q6,0)</f>
        <v>0.05</v>
      </c>
      <c r="J33" s="1092">
        <f>IF($O$8="TL",Vars!R6,0)</f>
        <v>0.04</v>
      </c>
      <c r="K33" s="1092">
        <f>IF($O$8="TL",Vars!S6,0)</f>
        <v>0.04</v>
      </c>
      <c r="L33" s="496">
        <f>IF($O$8="TL",Vars!T6,0)</f>
        <v>0.04</v>
      </c>
      <c r="M33" s="497">
        <f>IF($O$8="TL",Vars!U6,0)</f>
        <v>0.04</v>
      </c>
      <c r="N33" s="1093">
        <f t="shared" si="8"/>
        <v>6.5970106637351922E-2</v>
      </c>
      <c r="O33" s="1094">
        <f t="shared" si="9"/>
        <v>4.1992351774469361E-2</v>
      </c>
    </row>
    <row r="34" spans="2:21" s="4" customFormat="1" outlineLevel="1" x14ac:dyDescent="0.25">
      <c r="C34" s="1095" t="s">
        <v>257</v>
      </c>
      <c r="D34" s="1096">
        <f>(D30+1)*(1+D33)-1</f>
        <v>0.10160000000000013</v>
      </c>
      <c r="E34" s="1097">
        <f t="shared" ref="E34:M34" si="10">(E30+1)*(1+E33)-1</f>
        <v>9.1400000000000148E-2</v>
      </c>
      <c r="F34" s="1097">
        <f t="shared" si="10"/>
        <v>8.1200000000000161E-2</v>
      </c>
      <c r="G34" s="1097">
        <f t="shared" si="10"/>
        <v>8.1200000000000161E-2</v>
      </c>
      <c r="H34" s="1097">
        <f t="shared" si="10"/>
        <v>8.1200000000000161E-2</v>
      </c>
      <c r="I34" s="1097">
        <f t="shared" si="10"/>
        <v>6.0499999999999998E-2</v>
      </c>
      <c r="J34" s="1097">
        <f t="shared" si="10"/>
        <v>5.04E-2</v>
      </c>
      <c r="K34" s="1097">
        <f t="shared" si="10"/>
        <v>5.04E-2</v>
      </c>
      <c r="L34" s="1098">
        <f t="shared" si="10"/>
        <v>5.04E-2</v>
      </c>
      <c r="M34" s="1099">
        <f t="shared" si="10"/>
        <v>5.04E-2</v>
      </c>
      <c r="N34" s="1100">
        <f t="shared" si="8"/>
        <v>8.7289508770099111E-2</v>
      </c>
      <c r="O34" s="1101">
        <f t="shared" si="9"/>
        <v>5.2412275292214039E-2</v>
      </c>
    </row>
    <row r="35" spans="2:21" s="4" customFormat="1" outlineLevel="1" x14ac:dyDescent="0.25">
      <c r="C35" s="1102" t="s">
        <v>258</v>
      </c>
      <c r="D35" s="1103">
        <f>(1+D31)*(1+D33)-1</f>
        <v>0.13400000000000012</v>
      </c>
      <c r="E35" s="1104">
        <f t="shared" ref="E35:M35" si="11">(1+E31)*(1+E33)-1</f>
        <v>0.12350000000000017</v>
      </c>
      <c r="F35" s="1104">
        <f t="shared" si="11"/>
        <v>0.11300000000000021</v>
      </c>
      <c r="G35" s="1104">
        <f t="shared" si="11"/>
        <v>0.11300000000000021</v>
      </c>
      <c r="H35" s="1104">
        <f t="shared" si="11"/>
        <v>0.11300000000000021</v>
      </c>
      <c r="I35" s="1104">
        <f t="shared" si="11"/>
        <v>0.11300000000000021</v>
      </c>
      <c r="J35" s="1104">
        <f t="shared" si="11"/>
        <v>9.2000000000000082E-2</v>
      </c>
      <c r="K35" s="1104">
        <f t="shared" si="11"/>
        <v>8.1600000000000117E-2</v>
      </c>
      <c r="L35" s="1105">
        <f t="shared" si="11"/>
        <v>7.1200000000000152E-2</v>
      </c>
      <c r="M35" s="1106">
        <f t="shared" si="11"/>
        <v>7.1200000000000152E-2</v>
      </c>
      <c r="N35" s="1107">
        <f t="shared" si="8"/>
        <v>0.11926861196921967</v>
      </c>
      <c r="O35" s="1108">
        <f t="shared" si="9"/>
        <v>8.5688210541946752E-2</v>
      </c>
    </row>
    <row r="36" spans="2:21" s="4" customFormat="1" outlineLevel="1" x14ac:dyDescent="0.25">
      <c r="C36" s="1109" t="s">
        <v>260</v>
      </c>
      <c r="D36" s="1110">
        <f>(D32+1)*(1+D33)-1</f>
        <v>8.0000000000000071E-2</v>
      </c>
      <c r="E36" s="1111">
        <f t="shared" ref="E36:M36" si="12">(E32+1)*(1+E33)-1</f>
        <v>7.0000000000000062E-2</v>
      </c>
      <c r="F36" s="1111">
        <f t="shared" si="12"/>
        <v>6.0000000000000053E-2</v>
      </c>
      <c r="G36" s="1111">
        <f t="shared" si="12"/>
        <v>6.0000000000000053E-2</v>
      </c>
      <c r="H36" s="1111">
        <f t="shared" si="12"/>
        <v>6.0000000000000053E-2</v>
      </c>
      <c r="I36" s="1111">
        <f t="shared" si="12"/>
        <v>5.0000000000000044E-2</v>
      </c>
      <c r="J36" s="1111">
        <f t="shared" si="12"/>
        <v>4.0000000000000036E-2</v>
      </c>
      <c r="K36" s="1111">
        <f t="shared" si="12"/>
        <v>4.0000000000000036E-2</v>
      </c>
      <c r="L36" s="1112">
        <f t="shared" si="12"/>
        <v>4.0000000000000036E-2</v>
      </c>
      <c r="M36" s="1113">
        <f t="shared" si="12"/>
        <v>4.0000000000000036E-2</v>
      </c>
      <c r="N36" s="1114">
        <f t="shared" si="8"/>
        <v>6.5970106637351922E-2</v>
      </c>
      <c r="O36" s="1115">
        <f t="shared" si="9"/>
        <v>4.1992351774469361E-2</v>
      </c>
    </row>
    <row r="37" spans="2:21" s="4" customFormat="1" outlineLevel="1" x14ac:dyDescent="0.25">
      <c r="C37" s="354" t="s">
        <v>239</v>
      </c>
      <c r="D37" s="71">
        <f>K9*(1+D34)</f>
        <v>6734.6503272000009</v>
      </c>
      <c r="E37" s="71">
        <f>D37*(1+E34)</f>
        <v>7350.1973671060823</v>
      </c>
      <c r="F37" s="71">
        <f t="shared" ref="F37:M37" si="13">E37*(1+F34)</f>
        <v>7947.0333933150978</v>
      </c>
      <c r="G37" s="71">
        <f t="shared" si="13"/>
        <v>8592.3325048522856</v>
      </c>
      <c r="H37" s="71">
        <f t="shared" si="13"/>
        <v>9290.0299042462921</v>
      </c>
      <c r="I37" s="71">
        <f t="shared" si="13"/>
        <v>9852.0767134531925</v>
      </c>
      <c r="J37" s="71">
        <f t="shared" si="13"/>
        <v>10348.621379811233</v>
      </c>
      <c r="K37" s="71">
        <f t="shared" si="13"/>
        <v>10870.191897353719</v>
      </c>
      <c r="L37" s="862">
        <f t="shared" si="13"/>
        <v>11418.049568980347</v>
      </c>
      <c r="M37" s="1116">
        <f t="shared" si="13"/>
        <v>11993.519267256956</v>
      </c>
      <c r="N37" s="1117"/>
      <c r="O37" s="1118"/>
    </row>
    <row r="38" spans="2:21" s="4" customFormat="1" outlineLevel="1" x14ac:dyDescent="0.25">
      <c r="C38" s="354" t="s">
        <v>240</v>
      </c>
      <c r="D38" s="71">
        <f>K10*(1+D35)</f>
        <v>11103.656256000002</v>
      </c>
      <c r="E38" s="71">
        <f t="shared" ref="E38:M39" si="14">D38*(1+E35)</f>
        <v>12474.957803616004</v>
      </c>
      <c r="F38" s="71">
        <f t="shared" si="14"/>
        <v>13884.628035424616</v>
      </c>
      <c r="G38" s="71">
        <f t="shared" si="14"/>
        <v>15453.5910034276</v>
      </c>
      <c r="H38" s="71">
        <f t="shared" si="14"/>
        <v>17199.846786814924</v>
      </c>
      <c r="I38" s="71">
        <f t="shared" si="14"/>
        <v>19143.429473725013</v>
      </c>
      <c r="J38" s="71">
        <f t="shared" si="14"/>
        <v>20904.624985307717</v>
      </c>
      <c r="K38" s="71">
        <f t="shared" si="14"/>
        <v>22610.442384108828</v>
      </c>
      <c r="L38" s="862">
        <f t="shared" si="14"/>
        <v>24220.305881857381</v>
      </c>
      <c r="M38" s="1116">
        <f t="shared" si="14"/>
        <v>25944.791660645631</v>
      </c>
      <c r="N38" s="1119"/>
      <c r="O38" s="1120"/>
    </row>
    <row r="39" spans="2:21" s="4" customFormat="1" outlineLevel="1" x14ac:dyDescent="0.25">
      <c r="C39" s="357" t="s">
        <v>241</v>
      </c>
      <c r="D39" s="84">
        <f>K11*(1+D36)</f>
        <v>0</v>
      </c>
      <c r="E39" s="84">
        <f t="shared" si="14"/>
        <v>0</v>
      </c>
      <c r="F39" s="84">
        <f t="shared" si="14"/>
        <v>0</v>
      </c>
      <c r="G39" s="84">
        <f t="shared" si="14"/>
        <v>0</v>
      </c>
      <c r="H39" s="84">
        <f t="shared" si="14"/>
        <v>0</v>
      </c>
      <c r="I39" s="84">
        <f t="shared" si="14"/>
        <v>0</v>
      </c>
      <c r="J39" s="84">
        <f t="shared" si="14"/>
        <v>0</v>
      </c>
      <c r="K39" s="84">
        <f t="shared" si="14"/>
        <v>0</v>
      </c>
      <c r="L39" s="1121">
        <f t="shared" si="14"/>
        <v>0</v>
      </c>
      <c r="M39" s="865">
        <f t="shared" si="14"/>
        <v>0</v>
      </c>
      <c r="N39" s="1122"/>
      <c r="O39" s="1123"/>
    </row>
    <row r="40" spans="2:21" s="4" customFormat="1" outlineLevel="1" x14ac:dyDescent="0.25">
      <c r="C40" s="1063" t="s">
        <v>264</v>
      </c>
      <c r="D40" s="860">
        <f>SUM(D37:D39)</f>
        <v>17838.306583200003</v>
      </c>
      <c r="E40" s="860">
        <f>SUM(E37:E39)</f>
        <v>19825.155170722086</v>
      </c>
      <c r="F40" s="860">
        <f t="shared" ref="F40:M40" si="15">SUM(F37:F39)</f>
        <v>21831.661428739713</v>
      </c>
      <c r="G40" s="860">
        <f t="shared" si="15"/>
        <v>24045.923508279884</v>
      </c>
      <c r="H40" s="860">
        <f t="shared" si="15"/>
        <v>26489.876691061218</v>
      </c>
      <c r="I40" s="860">
        <f t="shared" si="15"/>
        <v>28995.506187178205</v>
      </c>
      <c r="J40" s="860">
        <f t="shared" si="15"/>
        <v>31253.24636511895</v>
      </c>
      <c r="K40" s="860">
        <f t="shared" si="15"/>
        <v>33480.634281462546</v>
      </c>
      <c r="L40" s="1124">
        <f t="shared" si="15"/>
        <v>35638.355450837727</v>
      </c>
      <c r="M40" s="1125">
        <f t="shared" si="15"/>
        <v>37938.310927902588</v>
      </c>
      <c r="N40" s="1114">
        <f>(H40/K12)^(1/5)-1</f>
        <v>0.10741066341194627</v>
      </c>
      <c r="O40" s="1126">
        <f>(M40/H40)^(1/5)-1</f>
        <v>7.4483154143591745E-2</v>
      </c>
    </row>
    <row r="41" spans="2:21" ht="13.15" customHeight="1" thickBot="1" x14ac:dyDescent="0.3"/>
    <row r="42" spans="2:21" s="319" customFormat="1" ht="19.5" thickBot="1" x14ac:dyDescent="0.35">
      <c r="B42" s="1280" t="s">
        <v>265</v>
      </c>
      <c r="C42" s="1281" t="s">
        <v>1176</v>
      </c>
      <c r="D42" s="1282"/>
      <c r="E42" s="1282"/>
      <c r="F42" s="1282"/>
      <c r="G42" s="1283"/>
      <c r="H42" s="1284"/>
      <c r="I42" s="1285"/>
      <c r="J42" s="1285"/>
      <c r="K42" s="1285"/>
      <c r="L42" s="1286"/>
      <c r="M42" s="1286"/>
      <c r="N42" s="1286"/>
      <c r="O42" s="1286"/>
      <c r="P42" s="1286"/>
      <c r="Q42" s="1286"/>
      <c r="R42" s="1286"/>
      <c r="S42" s="1286"/>
      <c r="T42" s="1286"/>
      <c r="U42" s="1287"/>
    </row>
    <row r="43" spans="2:21" s="533" customFormat="1" ht="15.75" customHeight="1" outlineLevel="1" x14ac:dyDescent="0.3">
      <c r="B43" s="1141">
        <v>1</v>
      </c>
      <c r="C43" s="517" t="s">
        <v>891</v>
      </c>
      <c r="D43" s="1127"/>
      <c r="E43" s="1127"/>
      <c r="F43" s="1127"/>
      <c r="G43" s="1127"/>
      <c r="H43" s="1128"/>
      <c r="I43" s="1127"/>
      <c r="J43" s="1127"/>
      <c r="K43" s="1127"/>
      <c r="L43" s="1127"/>
      <c r="M43" s="1127"/>
      <c r="N43" s="1127"/>
      <c r="O43" s="1127"/>
      <c r="P43" s="1127"/>
      <c r="Q43" s="1129"/>
    </row>
    <row r="44" spans="2:21" s="4" customFormat="1" outlineLevel="1" x14ac:dyDescent="0.25">
      <c r="C44" s="517" t="s">
        <v>896</v>
      </c>
      <c r="D44" s="1127"/>
      <c r="E44" s="1127"/>
      <c r="F44" s="1127"/>
      <c r="G44" s="1127"/>
      <c r="H44" s="1128"/>
      <c r="I44" s="1127"/>
      <c r="J44" s="1127"/>
      <c r="K44" s="1127"/>
      <c r="L44" s="1127"/>
      <c r="M44" s="1127"/>
      <c r="N44" s="1127"/>
      <c r="O44" s="1127"/>
      <c r="P44" s="1127"/>
      <c r="Q44" s="1129"/>
    </row>
    <row r="45" spans="2:21" s="7" customFormat="1" ht="17.25" customHeight="1" outlineLevel="1" thickBot="1" x14ac:dyDescent="0.3">
      <c r="C45" s="366" t="s">
        <v>883</v>
      </c>
      <c r="D45" s="1142" t="s">
        <v>884</v>
      </c>
      <c r="E45" s="59" t="str">
        <f>+I8</f>
        <v>2013</v>
      </c>
      <c r="F45" s="59" t="str">
        <f>+J8</f>
        <v>2014</v>
      </c>
      <c r="G45" s="59" t="str">
        <f>+K8</f>
        <v>2015</v>
      </c>
      <c r="H45" s="58">
        <f>+G45+1</f>
        <v>2016</v>
      </c>
      <c r="I45" s="59">
        <f>+H45+1</f>
        <v>2017</v>
      </c>
      <c r="J45" s="59">
        <f>+I45+1</f>
        <v>2018</v>
      </c>
      <c r="K45" s="59">
        <f t="shared" ref="K45:Q45" si="16">+J45+1</f>
        <v>2019</v>
      </c>
      <c r="L45" s="59">
        <f t="shared" si="16"/>
        <v>2020</v>
      </c>
      <c r="M45" s="59">
        <f t="shared" si="16"/>
        <v>2021</v>
      </c>
      <c r="N45" s="59">
        <f t="shared" si="16"/>
        <v>2022</v>
      </c>
      <c r="O45" s="59">
        <f t="shared" si="16"/>
        <v>2023</v>
      </c>
      <c r="P45" s="59">
        <f t="shared" si="16"/>
        <v>2024</v>
      </c>
      <c r="Q45" s="60">
        <f t="shared" si="16"/>
        <v>2025</v>
      </c>
    </row>
    <row r="46" spans="2:21" s="4" customFormat="1" ht="15.75" customHeight="1" outlineLevel="1" x14ac:dyDescent="0.25">
      <c r="C46" s="22" t="s">
        <v>876</v>
      </c>
      <c r="D46" s="354" t="s">
        <v>890</v>
      </c>
      <c r="E46" s="1130">
        <v>100</v>
      </c>
      <c r="F46" s="1130">
        <f>+E46+75</f>
        <v>175</v>
      </c>
      <c r="G46" s="1130">
        <f>+F46+75</f>
        <v>250</v>
      </c>
      <c r="H46" s="1131">
        <f>+G46+75</f>
        <v>325</v>
      </c>
      <c r="I46" s="1130">
        <f>+H46+75</f>
        <v>400</v>
      </c>
      <c r="J46" s="1130">
        <f>+I46+75</f>
        <v>475</v>
      </c>
      <c r="K46" s="1130">
        <f t="shared" ref="K46:Q46" si="17">+J46+75</f>
        <v>550</v>
      </c>
      <c r="L46" s="1130">
        <f t="shared" si="17"/>
        <v>625</v>
      </c>
      <c r="M46" s="1130">
        <f t="shared" si="17"/>
        <v>700</v>
      </c>
      <c r="N46" s="1130">
        <f t="shared" si="17"/>
        <v>775</v>
      </c>
      <c r="O46" s="1130">
        <f t="shared" si="17"/>
        <v>850</v>
      </c>
      <c r="P46" s="1130">
        <f t="shared" si="17"/>
        <v>925</v>
      </c>
      <c r="Q46" s="1132">
        <f t="shared" si="17"/>
        <v>1000</v>
      </c>
    </row>
    <row r="47" spans="2:21" s="4" customFormat="1" ht="15.75" customHeight="1" outlineLevel="1" x14ac:dyDescent="0.25">
      <c r="C47" s="22" t="s">
        <v>877</v>
      </c>
      <c r="D47" s="354" t="s">
        <v>890</v>
      </c>
      <c r="E47" s="1130">
        <f>E46*30</f>
        <v>3000</v>
      </c>
      <c r="F47" s="1130">
        <f t="shared" ref="F47:J55" si="18">+E47*1.01</f>
        <v>3030</v>
      </c>
      <c r="G47" s="1130">
        <f t="shared" si="18"/>
        <v>3060.3</v>
      </c>
      <c r="H47" s="1131">
        <f t="shared" si="18"/>
        <v>3090.9030000000002</v>
      </c>
      <c r="I47" s="1130">
        <f t="shared" si="18"/>
        <v>3121.8120300000005</v>
      </c>
      <c r="J47" s="1130">
        <f t="shared" si="18"/>
        <v>3153.0301503000005</v>
      </c>
      <c r="K47" s="1130">
        <f t="shared" ref="K47:Q47" si="19">+J47*1.01</f>
        <v>3184.5604518030004</v>
      </c>
      <c r="L47" s="1130">
        <f t="shared" si="19"/>
        <v>3216.4060563210305</v>
      </c>
      <c r="M47" s="1130">
        <f t="shared" si="19"/>
        <v>3248.5701168842406</v>
      </c>
      <c r="N47" s="1130">
        <f t="shared" si="19"/>
        <v>3281.0558180530829</v>
      </c>
      <c r="O47" s="1130">
        <f t="shared" si="19"/>
        <v>3313.8663762336137</v>
      </c>
      <c r="P47" s="1130">
        <f t="shared" si="19"/>
        <v>3347.00503999595</v>
      </c>
      <c r="Q47" s="1132">
        <f t="shared" si="19"/>
        <v>3380.4750903959098</v>
      </c>
    </row>
    <row r="48" spans="2:21" s="4" customFormat="1" ht="15.75" customHeight="1" outlineLevel="1" x14ac:dyDescent="0.25">
      <c r="C48" s="22" t="s">
        <v>878</v>
      </c>
      <c r="D48" s="354" t="s">
        <v>890</v>
      </c>
      <c r="E48" s="1130">
        <f>E47*2</f>
        <v>6000</v>
      </c>
      <c r="F48" s="1130">
        <f t="shared" si="18"/>
        <v>6060</v>
      </c>
      <c r="G48" s="1130">
        <f t="shared" si="18"/>
        <v>6120.6</v>
      </c>
      <c r="H48" s="1131">
        <f t="shared" si="18"/>
        <v>6181.8060000000005</v>
      </c>
      <c r="I48" s="1130">
        <f t="shared" si="18"/>
        <v>6243.624060000001</v>
      </c>
      <c r="J48" s="1130">
        <f t="shared" si="18"/>
        <v>6306.060300600001</v>
      </c>
      <c r="K48" s="1130">
        <f t="shared" ref="K48:Q48" si="20">+J48*1.01</f>
        <v>6369.1209036060009</v>
      </c>
      <c r="L48" s="1130">
        <f t="shared" si="20"/>
        <v>6432.812112642061</v>
      </c>
      <c r="M48" s="1130">
        <f t="shared" si="20"/>
        <v>6497.1402337684813</v>
      </c>
      <c r="N48" s="1130">
        <f t="shared" si="20"/>
        <v>6562.1116361061659</v>
      </c>
      <c r="O48" s="1130">
        <f t="shared" si="20"/>
        <v>6627.7327524672273</v>
      </c>
      <c r="P48" s="1130">
        <f t="shared" si="20"/>
        <v>6694.0100799919001</v>
      </c>
      <c r="Q48" s="1132">
        <f t="shared" si="20"/>
        <v>6760.9501807918195</v>
      </c>
    </row>
    <row r="49" spans="3:17" s="4" customFormat="1" ht="15.75" customHeight="1" outlineLevel="1" x14ac:dyDescent="0.25">
      <c r="C49" s="22" t="s">
        <v>879</v>
      </c>
      <c r="D49" s="354" t="s">
        <v>890</v>
      </c>
      <c r="E49" s="1130">
        <f t="shared" ref="E49:E55" si="21">E48*2</f>
        <v>12000</v>
      </c>
      <c r="F49" s="1130">
        <f t="shared" si="18"/>
        <v>12120</v>
      </c>
      <c r="G49" s="1130">
        <f t="shared" si="18"/>
        <v>12241.2</v>
      </c>
      <c r="H49" s="1131">
        <f t="shared" si="18"/>
        <v>12363.612000000001</v>
      </c>
      <c r="I49" s="1130">
        <f t="shared" si="18"/>
        <v>12487.248120000002</v>
      </c>
      <c r="J49" s="1130">
        <f t="shared" si="18"/>
        <v>12612.120601200002</v>
      </c>
      <c r="K49" s="1130">
        <f t="shared" ref="K49:Q49" si="22">+J49*1.01</f>
        <v>12738.241807212002</v>
      </c>
      <c r="L49" s="1130">
        <f t="shared" si="22"/>
        <v>12865.624225284122</v>
      </c>
      <c r="M49" s="1130">
        <f t="shared" si="22"/>
        <v>12994.280467536963</v>
      </c>
      <c r="N49" s="1130">
        <f t="shared" si="22"/>
        <v>13124.223272212332</v>
      </c>
      <c r="O49" s="1130">
        <f t="shared" si="22"/>
        <v>13255.465504934455</v>
      </c>
      <c r="P49" s="1130">
        <f t="shared" si="22"/>
        <v>13388.0201599838</v>
      </c>
      <c r="Q49" s="1132">
        <f t="shared" si="22"/>
        <v>13521.900361583639</v>
      </c>
    </row>
    <row r="50" spans="3:17" s="4" customFormat="1" ht="15.75" customHeight="1" outlineLevel="1" x14ac:dyDescent="0.25">
      <c r="C50" s="22" t="s">
        <v>880</v>
      </c>
      <c r="D50" s="354" t="s">
        <v>890</v>
      </c>
      <c r="E50" s="1130">
        <f t="shared" si="21"/>
        <v>24000</v>
      </c>
      <c r="F50" s="1130">
        <f t="shared" si="18"/>
        <v>24240</v>
      </c>
      <c r="G50" s="1130">
        <f t="shared" si="18"/>
        <v>24482.400000000001</v>
      </c>
      <c r="H50" s="1131">
        <f t="shared" si="18"/>
        <v>24727.224000000002</v>
      </c>
      <c r="I50" s="1130">
        <f t="shared" si="18"/>
        <v>24974.496240000004</v>
      </c>
      <c r="J50" s="1130">
        <f t="shared" si="18"/>
        <v>25224.241202400004</v>
      </c>
      <c r="K50" s="1130">
        <f t="shared" ref="K50:Q50" si="23">+J50*1.01</f>
        <v>25476.483614424003</v>
      </c>
      <c r="L50" s="1130">
        <f t="shared" si="23"/>
        <v>25731.248450568244</v>
      </c>
      <c r="M50" s="1130">
        <f t="shared" si="23"/>
        <v>25988.560935073925</v>
      </c>
      <c r="N50" s="1130">
        <f t="shared" si="23"/>
        <v>26248.446544424663</v>
      </c>
      <c r="O50" s="1130">
        <f t="shared" si="23"/>
        <v>26510.931009868909</v>
      </c>
      <c r="P50" s="1130">
        <f t="shared" si="23"/>
        <v>26776.0403199676</v>
      </c>
      <c r="Q50" s="1132">
        <f t="shared" si="23"/>
        <v>27043.800723167278</v>
      </c>
    </row>
    <row r="51" spans="3:17" s="4" customFormat="1" ht="15.75" customHeight="1" outlineLevel="1" x14ac:dyDescent="0.25">
      <c r="C51" s="22" t="s">
        <v>881</v>
      </c>
      <c r="D51" s="354" t="s">
        <v>890</v>
      </c>
      <c r="E51" s="1130">
        <f t="shared" si="21"/>
        <v>48000</v>
      </c>
      <c r="F51" s="1130">
        <f t="shared" si="18"/>
        <v>48480</v>
      </c>
      <c r="G51" s="1130">
        <f t="shared" si="18"/>
        <v>48964.800000000003</v>
      </c>
      <c r="H51" s="1131">
        <f t="shared" si="18"/>
        <v>49454.448000000004</v>
      </c>
      <c r="I51" s="1130">
        <f t="shared" si="18"/>
        <v>49948.992480000008</v>
      </c>
      <c r="J51" s="1130">
        <f t="shared" si="18"/>
        <v>50448.482404800008</v>
      </c>
      <c r="K51" s="1130">
        <f t="shared" ref="K51:Q51" si="24">+J51*1.01</f>
        <v>50952.967228848007</v>
      </c>
      <c r="L51" s="1130">
        <f t="shared" si="24"/>
        <v>51462.496901136488</v>
      </c>
      <c r="M51" s="1130">
        <f t="shared" si="24"/>
        <v>51977.12187014785</v>
      </c>
      <c r="N51" s="1130">
        <f t="shared" si="24"/>
        <v>52496.893088849327</v>
      </c>
      <c r="O51" s="1130">
        <f t="shared" si="24"/>
        <v>53021.862019737819</v>
      </c>
      <c r="P51" s="1130">
        <f t="shared" si="24"/>
        <v>53552.0806399352</v>
      </c>
      <c r="Q51" s="1132">
        <f t="shared" si="24"/>
        <v>54087.601446334556</v>
      </c>
    </row>
    <row r="52" spans="3:17" s="4" customFormat="1" ht="15.75" customHeight="1" outlineLevel="1" x14ac:dyDescent="0.25">
      <c r="C52" s="22" t="s">
        <v>882</v>
      </c>
      <c r="D52" s="354" t="s">
        <v>890</v>
      </c>
      <c r="E52" s="1130">
        <f t="shared" si="21"/>
        <v>96000</v>
      </c>
      <c r="F52" s="1130">
        <f t="shared" si="18"/>
        <v>96960</v>
      </c>
      <c r="G52" s="1130">
        <f t="shared" si="18"/>
        <v>97929.600000000006</v>
      </c>
      <c r="H52" s="1131">
        <f t="shared" si="18"/>
        <v>98908.896000000008</v>
      </c>
      <c r="I52" s="1130">
        <f t="shared" si="18"/>
        <v>99897.984960000016</v>
      </c>
      <c r="J52" s="1130">
        <f t="shared" si="18"/>
        <v>100896.96480960002</v>
      </c>
      <c r="K52" s="1130">
        <f t="shared" ref="K52:Q52" si="25">+J52*1.01</f>
        <v>101905.93445769601</v>
      </c>
      <c r="L52" s="1130">
        <f t="shared" si="25"/>
        <v>102924.99380227298</v>
      </c>
      <c r="M52" s="1130">
        <f t="shared" si="25"/>
        <v>103954.2437402957</v>
      </c>
      <c r="N52" s="1130">
        <f t="shared" si="25"/>
        <v>104993.78617769865</v>
      </c>
      <c r="O52" s="1130">
        <f t="shared" si="25"/>
        <v>106043.72403947564</v>
      </c>
      <c r="P52" s="1130">
        <f t="shared" si="25"/>
        <v>107104.1612798704</v>
      </c>
      <c r="Q52" s="1132">
        <f t="shared" si="25"/>
        <v>108175.20289266911</v>
      </c>
    </row>
    <row r="53" spans="3:17" s="4" customFormat="1" ht="15.75" customHeight="1" outlineLevel="1" x14ac:dyDescent="0.25">
      <c r="C53" s="22" t="s">
        <v>885</v>
      </c>
      <c r="D53" s="354" t="s">
        <v>890</v>
      </c>
      <c r="E53" s="1130">
        <f t="shared" si="21"/>
        <v>192000</v>
      </c>
      <c r="F53" s="1130">
        <f t="shared" si="18"/>
        <v>193920</v>
      </c>
      <c r="G53" s="1130">
        <f t="shared" si="18"/>
        <v>195859.20000000001</v>
      </c>
      <c r="H53" s="1131">
        <f t="shared" si="18"/>
        <v>197817.79200000002</v>
      </c>
      <c r="I53" s="1130">
        <f t="shared" si="18"/>
        <v>199795.96992000003</v>
      </c>
      <c r="J53" s="1130">
        <f t="shared" si="18"/>
        <v>201793.92961920003</v>
      </c>
      <c r="K53" s="1130">
        <f t="shared" ref="K53:Q53" si="26">+J53*1.01</f>
        <v>203811.86891539203</v>
      </c>
      <c r="L53" s="1130">
        <f t="shared" si="26"/>
        <v>205849.98760454595</v>
      </c>
      <c r="M53" s="1130">
        <f t="shared" si="26"/>
        <v>207908.4874805914</v>
      </c>
      <c r="N53" s="1130">
        <f t="shared" si="26"/>
        <v>209987.57235539731</v>
      </c>
      <c r="O53" s="1130">
        <f t="shared" si="26"/>
        <v>212087.44807895127</v>
      </c>
      <c r="P53" s="1130">
        <f t="shared" si="26"/>
        <v>214208.3225597408</v>
      </c>
      <c r="Q53" s="1132">
        <f t="shared" si="26"/>
        <v>216350.40578533823</v>
      </c>
    </row>
    <row r="54" spans="3:17" s="4" customFormat="1" ht="15.75" customHeight="1" outlineLevel="1" x14ac:dyDescent="0.25">
      <c r="C54" s="22" t="s">
        <v>885</v>
      </c>
      <c r="D54" s="354" t="s">
        <v>890</v>
      </c>
      <c r="E54" s="1130">
        <f t="shared" si="21"/>
        <v>384000</v>
      </c>
      <c r="F54" s="1130">
        <f t="shared" si="18"/>
        <v>387840</v>
      </c>
      <c r="G54" s="1130">
        <f t="shared" si="18"/>
        <v>391718.40000000002</v>
      </c>
      <c r="H54" s="1131">
        <f t="shared" si="18"/>
        <v>395635.58400000003</v>
      </c>
      <c r="I54" s="1130">
        <f t="shared" si="18"/>
        <v>399591.93984000006</v>
      </c>
      <c r="J54" s="1130">
        <f t="shared" si="18"/>
        <v>403587.85923840007</v>
      </c>
      <c r="K54" s="1130">
        <f t="shared" ref="K54:Q54" si="27">+J54*1.01</f>
        <v>407623.73783078406</v>
      </c>
      <c r="L54" s="1130">
        <f t="shared" si="27"/>
        <v>411699.97520909191</v>
      </c>
      <c r="M54" s="1130">
        <f t="shared" si="27"/>
        <v>415816.9749611828</v>
      </c>
      <c r="N54" s="1130">
        <f t="shared" si="27"/>
        <v>419975.14471079462</v>
      </c>
      <c r="O54" s="1130">
        <f t="shared" si="27"/>
        <v>424174.89615790255</v>
      </c>
      <c r="P54" s="1130">
        <f t="shared" si="27"/>
        <v>428416.6451194816</v>
      </c>
      <c r="Q54" s="1132">
        <f t="shared" si="27"/>
        <v>432700.81157067645</v>
      </c>
    </row>
    <row r="55" spans="3:17" s="4" customFormat="1" ht="15.75" customHeight="1" outlineLevel="1" x14ac:dyDescent="0.25">
      <c r="C55" s="29" t="s">
        <v>885</v>
      </c>
      <c r="D55" s="357" t="s">
        <v>890</v>
      </c>
      <c r="E55" s="1133">
        <f t="shared" si="21"/>
        <v>768000</v>
      </c>
      <c r="F55" s="1133">
        <f t="shared" si="18"/>
        <v>775680</v>
      </c>
      <c r="G55" s="1133">
        <f t="shared" si="18"/>
        <v>783436.80000000005</v>
      </c>
      <c r="H55" s="1134">
        <f t="shared" si="18"/>
        <v>791271.16800000006</v>
      </c>
      <c r="I55" s="1133">
        <f t="shared" si="18"/>
        <v>799183.87968000013</v>
      </c>
      <c r="J55" s="1133">
        <f t="shared" si="18"/>
        <v>807175.71847680013</v>
      </c>
      <c r="K55" s="1133">
        <f t="shared" ref="K55:Q55" si="28">+J55*1.01</f>
        <v>815247.47566156811</v>
      </c>
      <c r="L55" s="1133">
        <f t="shared" si="28"/>
        <v>823399.95041818381</v>
      </c>
      <c r="M55" s="1133">
        <f t="shared" si="28"/>
        <v>831633.9499223656</v>
      </c>
      <c r="N55" s="1133">
        <f t="shared" si="28"/>
        <v>839950.28942158923</v>
      </c>
      <c r="O55" s="1133">
        <f t="shared" si="28"/>
        <v>848349.7923158051</v>
      </c>
      <c r="P55" s="1133">
        <f t="shared" si="28"/>
        <v>856833.29023896321</v>
      </c>
      <c r="Q55" s="1135">
        <f t="shared" si="28"/>
        <v>865401.6231413529</v>
      </c>
    </row>
    <row r="56" spans="3:17" s="4" customFormat="1" ht="15.75" customHeight="1" outlineLevel="1" x14ac:dyDescent="0.25"/>
    <row r="57" spans="3:17" s="4" customFormat="1" ht="15.75" customHeight="1" outlineLevel="1" x14ac:dyDescent="0.25">
      <c r="C57" s="517" t="s">
        <v>886</v>
      </c>
      <c r="D57" s="1127"/>
      <c r="E57" s="1127"/>
      <c r="F57" s="1127"/>
      <c r="G57" s="1127"/>
      <c r="H57" s="1128"/>
      <c r="I57" s="1127"/>
      <c r="J57" s="1127"/>
      <c r="K57" s="1127"/>
      <c r="L57" s="1127"/>
      <c r="M57" s="1127"/>
      <c r="N57" s="1127"/>
      <c r="O57" s="1127"/>
      <c r="P57" s="1127"/>
      <c r="Q57" s="1129"/>
    </row>
    <row r="58" spans="3:17" s="4" customFormat="1" ht="15.75" customHeight="1" outlineLevel="1" thickBot="1" x14ac:dyDescent="0.3">
      <c r="C58" s="366" t="s">
        <v>883</v>
      </c>
      <c r="D58" s="1143" t="s">
        <v>884</v>
      </c>
      <c r="E58" s="59" t="str">
        <f t="shared" ref="E58:J58" si="29">+E45</f>
        <v>2013</v>
      </c>
      <c r="F58" s="59" t="str">
        <f t="shared" si="29"/>
        <v>2014</v>
      </c>
      <c r="G58" s="59" t="str">
        <f t="shared" si="29"/>
        <v>2015</v>
      </c>
      <c r="H58" s="58">
        <f t="shared" si="29"/>
        <v>2016</v>
      </c>
      <c r="I58" s="59">
        <f t="shared" si="29"/>
        <v>2017</v>
      </c>
      <c r="J58" s="59">
        <f t="shared" si="29"/>
        <v>2018</v>
      </c>
      <c r="K58" s="59">
        <f t="shared" ref="K58:Q58" si="30">+K45</f>
        <v>2019</v>
      </c>
      <c r="L58" s="59">
        <f t="shared" si="30"/>
        <v>2020</v>
      </c>
      <c r="M58" s="59">
        <f t="shared" si="30"/>
        <v>2021</v>
      </c>
      <c r="N58" s="59">
        <f t="shared" si="30"/>
        <v>2022</v>
      </c>
      <c r="O58" s="59">
        <f t="shared" si="30"/>
        <v>2023</v>
      </c>
      <c r="P58" s="59">
        <f t="shared" si="30"/>
        <v>2024</v>
      </c>
      <c r="Q58" s="60">
        <f t="shared" si="30"/>
        <v>2025</v>
      </c>
    </row>
    <row r="59" spans="3:17" s="4" customFormat="1" ht="15.75" customHeight="1" outlineLevel="1" x14ac:dyDescent="0.25">
      <c r="C59" s="22" t="s">
        <v>876</v>
      </c>
      <c r="D59" s="1136" t="s">
        <v>525</v>
      </c>
      <c r="E59" s="1130">
        <v>1000</v>
      </c>
      <c r="F59" s="1130">
        <f>+E59+75</f>
        <v>1075</v>
      </c>
      <c r="G59" s="1130">
        <f>+F59+75</f>
        <v>1150</v>
      </c>
      <c r="H59" s="1131">
        <f>+G59+75</f>
        <v>1225</v>
      </c>
      <c r="I59" s="1130">
        <f>+H59+75</f>
        <v>1300</v>
      </c>
      <c r="J59" s="1130">
        <f>+I59+75</f>
        <v>1375</v>
      </c>
      <c r="K59" s="1130">
        <f t="shared" ref="K59:Q59" si="31">+J59+75</f>
        <v>1450</v>
      </c>
      <c r="L59" s="1130">
        <f t="shared" si="31"/>
        <v>1525</v>
      </c>
      <c r="M59" s="1130">
        <f t="shared" si="31"/>
        <v>1600</v>
      </c>
      <c r="N59" s="1130">
        <f t="shared" si="31"/>
        <v>1675</v>
      </c>
      <c r="O59" s="1130">
        <f t="shared" si="31"/>
        <v>1750</v>
      </c>
      <c r="P59" s="1130">
        <f t="shared" si="31"/>
        <v>1825</v>
      </c>
      <c r="Q59" s="1132">
        <f t="shared" si="31"/>
        <v>1900</v>
      </c>
    </row>
    <row r="60" spans="3:17" s="4" customFormat="1" ht="15.75" customHeight="1" outlineLevel="1" x14ac:dyDescent="0.25">
      <c r="C60" s="22" t="s">
        <v>877</v>
      </c>
      <c r="D60" s="1136" t="s">
        <v>525</v>
      </c>
      <c r="E60" s="1130">
        <f>E59*75</f>
        <v>75000</v>
      </c>
      <c r="F60" s="1130">
        <f t="shared" ref="F60:J62" si="32">+E60*1.01</f>
        <v>75750</v>
      </c>
      <c r="G60" s="1130">
        <f t="shared" si="32"/>
        <v>76507.5</v>
      </c>
      <c r="H60" s="1131">
        <f t="shared" si="32"/>
        <v>77272.574999999997</v>
      </c>
      <c r="I60" s="1130">
        <f t="shared" si="32"/>
        <v>78045.300749999995</v>
      </c>
      <c r="J60" s="1130">
        <f t="shared" si="32"/>
        <v>78825.753757500002</v>
      </c>
      <c r="K60" s="1130">
        <f t="shared" ref="K60:Q60" si="33">+J60*1.01</f>
        <v>79614.011295075004</v>
      </c>
      <c r="L60" s="1130">
        <f t="shared" si="33"/>
        <v>80410.151408025762</v>
      </c>
      <c r="M60" s="1130">
        <f t="shared" si="33"/>
        <v>81214.252922106025</v>
      </c>
      <c r="N60" s="1130">
        <f t="shared" si="33"/>
        <v>82026.395451327087</v>
      </c>
      <c r="O60" s="1130">
        <f t="shared" si="33"/>
        <v>82846.659405840357</v>
      </c>
      <c r="P60" s="1130">
        <f t="shared" si="33"/>
        <v>83675.125999898766</v>
      </c>
      <c r="Q60" s="1132">
        <f t="shared" si="33"/>
        <v>84511.877259897752</v>
      </c>
    </row>
    <row r="61" spans="3:17" s="4" customFormat="1" ht="15.75" customHeight="1" outlineLevel="1" x14ac:dyDescent="0.25">
      <c r="C61" s="22" t="s">
        <v>878</v>
      </c>
      <c r="D61" s="1136" t="s">
        <v>525</v>
      </c>
      <c r="E61" s="1130">
        <f>E60*2</f>
        <v>150000</v>
      </c>
      <c r="F61" s="1130">
        <f t="shared" si="32"/>
        <v>151500</v>
      </c>
      <c r="G61" s="1130">
        <f t="shared" si="32"/>
        <v>153015</v>
      </c>
      <c r="H61" s="1131">
        <f t="shared" si="32"/>
        <v>154545.15</v>
      </c>
      <c r="I61" s="1130">
        <f t="shared" si="32"/>
        <v>156090.60149999999</v>
      </c>
      <c r="J61" s="1130">
        <f t="shared" si="32"/>
        <v>157651.507515</v>
      </c>
      <c r="K61" s="1130">
        <f t="shared" ref="K61:Q61" si="34">+J61*1.01</f>
        <v>159228.02259015001</v>
      </c>
      <c r="L61" s="1130">
        <f t="shared" si="34"/>
        <v>160820.30281605152</v>
      </c>
      <c r="M61" s="1130">
        <f t="shared" si="34"/>
        <v>162428.50584421205</v>
      </c>
      <c r="N61" s="1130">
        <f t="shared" si="34"/>
        <v>164052.79090265417</v>
      </c>
      <c r="O61" s="1130">
        <f t="shared" si="34"/>
        <v>165693.31881168071</v>
      </c>
      <c r="P61" s="1130">
        <f t="shared" si="34"/>
        <v>167350.25199979753</v>
      </c>
      <c r="Q61" s="1132">
        <f t="shared" si="34"/>
        <v>169023.7545197955</v>
      </c>
    </row>
    <row r="62" spans="3:17" s="4" customFormat="1" ht="15.75" customHeight="1" outlineLevel="1" x14ac:dyDescent="0.25">
      <c r="C62" s="22" t="s">
        <v>879</v>
      </c>
      <c r="D62" s="1136" t="s">
        <v>525</v>
      </c>
      <c r="E62" s="1130">
        <f>E61*2</f>
        <v>300000</v>
      </c>
      <c r="F62" s="1130">
        <f t="shared" si="32"/>
        <v>303000</v>
      </c>
      <c r="G62" s="1130">
        <f t="shared" si="32"/>
        <v>306030</v>
      </c>
      <c r="H62" s="1131">
        <f t="shared" si="32"/>
        <v>309090.3</v>
      </c>
      <c r="I62" s="1130">
        <f t="shared" si="32"/>
        <v>312181.20299999998</v>
      </c>
      <c r="J62" s="1130">
        <f t="shared" si="32"/>
        <v>315303.01503000001</v>
      </c>
      <c r="K62" s="1130">
        <f t="shared" ref="K62:Q62" si="35">+J62*1.01</f>
        <v>318456.04518030002</v>
      </c>
      <c r="L62" s="1130">
        <f t="shared" si="35"/>
        <v>321640.60563210305</v>
      </c>
      <c r="M62" s="1130">
        <f t="shared" si="35"/>
        <v>324857.0116884241</v>
      </c>
      <c r="N62" s="1130">
        <f t="shared" si="35"/>
        <v>328105.58180530835</v>
      </c>
      <c r="O62" s="1130">
        <f t="shared" si="35"/>
        <v>331386.63762336143</v>
      </c>
      <c r="P62" s="1130">
        <f t="shared" si="35"/>
        <v>334700.50399959506</v>
      </c>
      <c r="Q62" s="1132">
        <f t="shared" si="35"/>
        <v>338047.50903959101</v>
      </c>
    </row>
    <row r="63" spans="3:17" s="4" customFormat="1" ht="15.75" customHeight="1" outlineLevel="1" x14ac:dyDescent="0.25">
      <c r="C63" s="22" t="s">
        <v>880</v>
      </c>
      <c r="D63" s="1136" t="s">
        <v>525</v>
      </c>
      <c r="E63" s="1130">
        <f>E62*0.2</f>
        <v>60000</v>
      </c>
      <c r="F63" s="1130">
        <f t="shared" ref="F63:G66" si="36">+E63*1.1</f>
        <v>66000</v>
      </c>
      <c r="G63" s="1130">
        <f t="shared" si="36"/>
        <v>72600</v>
      </c>
      <c r="H63" s="1131">
        <f t="shared" ref="H63:J68" si="37">+G63*1.01</f>
        <v>73326</v>
      </c>
      <c r="I63" s="1130">
        <f t="shared" si="37"/>
        <v>74059.259999999995</v>
      </c>
      <c r="J63" s="1130">
        <f t="shared" si="37"/>
        <v>74799.852599999998</v>
      </c>
      <c r="K63" s="1130">
        <f t="shared" ref="K63:Q63" si="38">+J63*1.01</f>
        <v>75547.851125999994</v>
      </c>
      <c r="L63" s="1130">
        <f t="shared" si="38"/>
        <v>76303.329637260002</v>
      </c>
      <c r="M63" s="1130">
        <f t="shared" si="38"/>
        <v>77066.362933632598</v>
      </c>
      <c r="N63" s="1130">
        <f t="shared" si="38"/>
        <v>77837.026562968924</v>
      </c>
      <c r="O63" s="1130">
        <f t="shared" si="38"/>
        <v>78615.396828598619</v>
      </c>
      <c r="P63" s="1130">
        <f t="shared" si="38"/>
        <v>79401.550796884607</v>
      </c>
      <c r="Q63" s="1132">
        <f t="shared" si="38"/>
        <v>80195.566304853448</v>
      </c>
    </row>
    <row r="64" spans="3:17" s="4" customFormat="1" ht="15.75" customHeight="1" outlineLevel="1" x14ac:dyDescent="0.25">
      <c r="C64" s="22" t="s">
        <v>881</v>
      </c>
      <c r="D64" s="1136" t="s">
        <v>525</v>
      </c>
      <c r="E64" s="1130">
        <f>E63*0.1</f>
        <v>6000</v>
      </c>
      <c r="F64" s="1130">
        <f t="shared" si="36"/>
        <v>6600.0000000000009</v>
      </c>
      <c r="G64" s="1130">
        <f t="shared" si="36"/>
        <v>7260.0000000000018</v>
      </c>
      <c r="H64" s="1131">
        <f t="shared" si="37"/>
        <v>7332.6000000000022</v>
      </c>
      <c r="I64" s="1130">
        <f t="shared" si="37"/>
        <v>7405.9260000000022</v>
      </c>
      <c r="J64" s="1130">
        <f t="shared" si="37"/>
        <v>7479.9852600000022</v>
      </c>
      <c r="K64" s="1130">
        <f t="shared" ref="K64:Q64" si="39">+J64*1.01</f>
        <v>7554.7851126000023</v>
      </c>
      <c r="L64" s="1130">
        <f t="shared" si="39"/>
        <v>7630.3329637260022</v>
      </c>
      <c r="M64" s="1130">
        <f t="shared" si="39"/>
        <v>7706.6362933632627</v>
      </c>
      <c r="N64" s="1130">
        <f t="shared" si="39"/>
        <v>7783.7026562968949</v>
      </c>
      <c r="O64" s="1130">
        <f t="shared" si="39"/>
        <v>7861.5396828598641</v>
      </c>
      <c r="P64" s="1130">
        <f t="shared" si="39"/>
        <v>7940.155079688463</v>
      </c>
      <c r="Q64" s="1132">
        <f t="shared" si="39"/>
        <v>8019.5566304853473</v>
      </c>
    </row>
    <row r="65" spans="3:17" s="4" customFormat="1" ht="15.75" customHeight="1" outlineLevel="1" x14ac:dyDescent="0.25">
      <c r="C65" s="22" t="s">
        <v>882</v>
      </c>
      <c r="D65" s="1136" t="s">
        <v>525</v>
      </c>
      <c r="E65" s="1130">
        <f>E64*2</f>
        <v>12000</v>
      </c>
      <c r="F65" s="1130">
        <f t="shared" si="36"/>
        <v>13200.000000000002</v>
      </c>
      <c r="G65" s="1130">
        <f t="shared" si="36"/>
        <v>14520.000000000004</v>
      </c>
      <c r="H65" s="1131">
        <f t="shared" si="37"/>
        <v>14665.200000000004</v>
      </c>
      <c r="I65" s="1130">
        <f t="shared" si="37"/>
        <v>14811.852000000004</v>
      </c>
      <c r="J65" s="1130">
        <f t="shared" si="37"/>
        <v>14959.970520000004</v>
      </c>
      <c r="K65" s="1130">
        <f t="shared" ref="K65:Q65" si="40">+J65*1.01</f>
        <v>15109.570225200005</v>
      </c>
      <c r="L65" s="1130">
        <f t="shared" si="40"/>
        <v>15260.665927452004</v>
      </c>
      <c r="M65" s="1130">
        <f t="shared" si="40"/>
        <v>15413.272586726525</v>
      </c>
      <c r="N65" s="1130">
        <f t="shared" si="40"/>
        <v>15567.40531259379</v>
      </c>
      <c r="O65" s="1130">
        <f t="shared" si="40"/>
        <v>15723.079365719728</v>
      </c>
      <c r="P65" s="1130">
        <f t="shared" si="40"/>
        <v>15880.310159376926</v>
      </c>
      <c r="Q65" s="1132">
        <f t="shared" si="40"/>
        <v>16039.113260970695</v>
      </c>
    </row>
    <row r="66" spans="3:17" s="4" customFormat="1" ht="15.75" customHeight="1" outlineLevel="1" x14ac:dyDescent="0.25">
      <c r="C66" s="22" t="s">
        <v>885</v>
      </c>
      <c r="D66" s="1136" t="s">
        <v>525</v>
      </c>
      <c r="E66" s="1130">
        <f>E65*1.59445</f>
        <v>19133.399999999998</v>
      </c>
      <c r="F66" s="1130">
        <f t="shared" si="36"/>
        <v>21046.739999999998</v>
      </c>
      <c r="G66" s="1130">
        <f t="shared" si="36"/>
        <v>23151.414000000001</v>
      </c>
      <c r="H66" s="1131">
        <f t="shared" si="37"/>
        <v>23382.92814</v>
      </c>
      <c r="I66" s="1130">
        <f t="shared" si="37"/>
        <v>23616.757421400001</v>
      </c>
      <c r="J66" s="1130">
        <f t="shared" si="37"/>
        <v>23852.924995614001</v>
      </c>
      <c r="K66" s="1130">
        <f t="shared" ref="K66:Q66" si="41">+J66*1.01</f>
        <v>24091.454245570141</v>
      </c>
      <c r="L66" s="1130">
        <f t="shared" si="41"/>
        <v>24332.368788025844</v>
      </c>
      <c r="M66" s="1130">
        <f t="shared" si="41"/>
        <v>24575.692475906104</v>
      </c>
      <c r="N66" s="1130">
        <f t="shared" si="41"/>
        <v>24821.449400665166</v>
      </c>
      <c r="O66" s="1130">
        <f t="shared" si="41"/>
        <v>25069.663894671819</v>
      </c>
      <c r="P66" s="1130">
        <f t="shared" si="41"/>
        <v>25320.360533618539</v>
      </c>
      <c r="Q66" s="1132">
        <f t="shared" si="41"/>
        <v>25573.564138954724</v>
      </c>
    </row>
    <row r="67" spans="3:17" s="4" customFormat="1" ht="15.75" customHeight="1" outlineLevel="1" x14ac:dyDescent="0.25">
      <c r="C67" s="22" t="s">
        <v>885</v>
      </c>
      <c r="D67" s="1136" t="s">
        <v>525</v>
      </c>
      <c r="E67" s="1130">
        <f>E66*1.2/10</f>
        <v>2296.0079999999998</v>
      </c>
      <c r="F67" s="1130">
        <f>+E67*0.678</f>
        <v>1556.6934240000001</v>
      </c>
      <c r="G67" s="1130">
        <f>+F67*1.49</f>
        <v>2319.4732017599999</v>
      </c>
      <c r="H67" s="1131">
        <f t="shared" si="37"/>
        <v>2342.6679337776</v>
      </c>
      <c r="I67" s="1130">
        <f t="shared" si="37"/>
        <v>2366.094613115376</v>
      </c>
      <c r="J67" s="1130">
        <f t="shared" si="37"/>
        <v>2389.7555592465296</v>
      </c>
      <c r="K67" s="1130">
        <f t="shared" ref="K67:Q67" si="42">+J67*1.01</f>
        <v>2413.653114838995</v>
      </c>
      <c r="L67" s="1130">
        <f t="shared" si="42"/>
        <v>2437.789645987385</v>
      </c>
      <c r="M67" s="1130">
        <f t="shared" si="42"/>
        <v>2462.1675424472587</v>
      </c>
      <c r="N67" s="1130">
        <f t="shared" si="42"/>
        <v>2486.7892178717311</v>
      </c>
      <c r="O67" s="1130">
        <f t="shared" si="42"/>
        <v>2511.6571100504484</v>
      </c>
      <c r="P67" s="1130">
        <f t="shared" si="42"/>
        <v>2536.7736811509531</v>
      </c>
      <c r="Q67" s="1132">
        <f t="shared" si="42"/>
        <v>2562.1414179624626</v>
      </c>
    </row>
    <row r="68" spans="3:17" s="4" customFormat="1" ht="15.75" customHeight="1" outlineLevel="1" x14ac:dyDescent="0.25">
      <c r="C68" s="29" t="s">
        <v>885</v>
      </c>
      <c r="D68" s="1137" t="s">
        <v>525</v>
      </c>
      <c r="E68" s="1133">
        <f>E67*2/100</f>
        <v>45.920159999999996</v>
      </c>
      <c r="F68" s="1133">
        <f>+E68*1.01</f>
        <v>46.379361599999996</v>
      </c>
      <c r="G68" s="1133">
        <f>+F68*1.01</f>
        <v>46.843155216</v>
      </c>
      <c r="H68" s="1134">
        <f t="shared" si="37"/>
        <v>47.311586768159998</v>
      </c>
      <c r="I68" s="1133">
        <f t="shared" si="37"/>
        <v>47.784702635841597</v>
      </c>
      <c r="J68" s="1133">
        <f t="shared" si="37"/>
        <v>48.262549662200016</v>
      </c>
      <c r="K68" s="1133">
        <f t="shared" ref="K68:Q68" si="43">+J68*1.01</f>
        <v>48.745175158822015</v>
      </c>
      <c r="L68" s="1133">
        <f t="shared" si="43"/>
        <v>49.232626910410232</v>
      </c>
      <c r="M68" s="1133">
        <f t="shared" si="43"/>
        <v>49.724953179514337</v>
      </c>
      <c r="N68" s="1133">
        <f t="shared" si="43"/>
        <v>50.222202711309478</v>
      </c>
      <c r="O68" s="1133">
        <f t="shared" si="43"/>
        <v>50.72442473842257</v>
      </c>
      <c r="P68" s="1133">
        <f t="shared" si="43"/>
        <v>51.231668985806799</v>
      </c>
      <c r="Q68" s="1135">
        <f t="shared" si="43"/>
        <v>51.743985675664867</v>
      </c>
    </row>
    <row r="69" spans="3:17" s="526" customFormat="1" ht="15.75" customHeight="1" outlineLevel="1" x14ac:dyDescent="0.25"/>
    <row r="70" spans="3:17" s="526" customFormat="1" ht="15.75" customHeight="1" outlineLevel="1" x14ac:dyDescent="0.25">
      <c r="C70" s="517" t="s">
        <v>887</v>
      </c>
      <c r="D70" s="1127"/>
      <c r="E70" s="1127"/>
      <c r="F70" s="1127"/>
      <c r="G70" s="1127"/>
      <c r="H70" s="1128"/>
      <c r="I70" s="1127"/>
      <c r="J70" s="1127"/>
      <c r="K70" s="1127"/>
      <c r="L70" s="1127"/>
      <c r="M70" s="1127"/>
      <c r="N70" s="1127"/>
      <c r="O70" s="1127"/>
      <c r="P70" s="1127"/>
      <c r="Q70" s="1129"/>
    </row>
    <row r="71" spans="3:17" s="526" customFormat="1" ht="15.75" customHeight="1" outlineLevel="1" thickBot="1" x14ac:dyDescent="0.3">
      <c r="C71" s="366" t="s">
        <v>883</v>
      </c>
      <c r="D71" s="1142" t="s">
        <v>884</v>
      </c>
      <c r="E71" s="59" t="str">
        <f t="shared" ref="E71:J71" si="44">E58</f>
        <v>2013</v>
      </c>
      <c r="F71" s="59" t="str">
        <f t="shared" si="44"/>
        <v>2014</v>
      </c>
      <c r="G71" s="59" t="str">
        <f t="shared" si="44"/>
        <v>2015</v>
      </c>
      <c r="H71" s="58">
        <f t="shared" si="44"/>
        <v>2016</v>
      </c>
      <c r="I71" s="59">
        <f t="shared" si="44"/>
        <v>2017</v>
      </c>
      <c r="J71" s="59">
        <f t="shared" si="44"/>
        <v>2018</v>
      </c>
      <c r="K71" s="59">
        <f t="shared" ref="K71:Q71" si="45">K58</f>
        <v>2019</v>
      </c>
      <c r="L71" s="59">
        <f t="shared" si="45"/>
        <v>2020</v>
      </c>
      <c r="M71" s="59">
        <f t="shared" si="45"/>
        <v>2021</v>
      </c>
      <c r="N71" s="59">
        <f t="shared" si="45"/>
        <v>2022</v>
      </c>
      <c r="O71" s="59">
        <f t="shared" si="45"/>
        <v>2023</v>
      </c>
      <c r="P71" s="59">
        <f t="shared" si="45"/>
        <v>2024</v>
      </c>
      <c r="Q71" s="60">
        <f t="shared" si="45"/>
        <v>2025</v>
      </c>
    </row>
    <row r="72" spans="3:17" s="526" customFormat="1" ht="15.75" customHeight="1" outlineLevel="1" x14ac:dyDescent="0.25">
      <c r="C72" s="22" t="s">
        <v>876</v>
      </c>
      <c r="D72" s="354" t="s">
        <v>525</v>
      </c>
      <c r="E72" s="862">
        <f t="shared" ref="E72:J72" si="46">E46*E59/1000000</f>
        <v>0.1</v>
      </c>
      <c r="F72" s="862">
        <f t="shared" si="46"/>
        <v>0.18812499999999999</v>
      </c>
      <c r="G72" s="862">
        <f t="shared" si="46"/>
        <v>0.28749999999999998</v>
      </c>
      <c r="H72" s="1138">
        <f t="shared" si="46"/>
        <v>0.39812500000000001</v>
      </c>
      <c r="I72" s="862">
        <f t="shared" si="46"/>
        <v>0.52</v>
      </c>
      <c r="J72" s="862">
        <f t="shared" si="46"/>
        <v>0.65312499999999996</v>
      </c>
      <c r="K72" s="862">
        <f t="shared" ref="K72:Q72" si="47">K46*K59/1000000</f>
        <v>0.79749999999999999</v>
      </c>
      <c r="L72" s="862">
        <f t="shared" si="47"/>
        <v>0.953125</v>
      </c>
      <c r="M72" s="862">
        <f t="shared" si="47"/>
        <v>1.1200000000000001</v>
      </c>
      <c r="N72" s="862">
        <f t="shared" si="47"/>
        <v>1.298125</v>
      </c>
      <c r="O72" s="862">
        <f t="shared" si="47"/>
        <v>1.4875</v>
      </c>
      <c r="P72" s="862">
        <f t="shared" si="47"/>
        <v>1.6881250000000001</v>
      </c>
      <c r="Q72" s="1116">
        <f t="shared" si="47"/>
        <v>1.9</v>
      </c>
    </row>
    <row r="73" spans="3:17" s="526" customFormat="1" ht="15.75" customHeight="1" outlineLevel="1" x14ac:dyDescent="0.25">
      <c r="C73" s="22" t="s">
        <v>877</v>
      </c>
      <c r="D73" s="354" t="s">
        <v>525</v>
      </c>
      <c r="E73" s="862">
        <f t="shared" ref="E73:J73" si="48">E47*E60/1000000</f>
        <v>225</v>
      </c>
      <c r="F73" s="862">
        <f t="shared" si="48"/>
        <v>229.52250000000001</v>
      </c>
      <c r="G73" s="862">
        <f t="shared" si="48"/>
        <v>234.13590224999999</v>
      </c>
      <c r="H73" s="1138">
        <f t="shared" si="48"/>
        <v>238.84203388522499</v>
      </c>
      <c r="I73" s="862">
        <f t="shared" si="48"/>
        <v>243.64275876631805</v>
      </c>
      <c r="J73" s="862">
        <f t="shared" si="48"/>
        <v>248.53997821752108</v>
      </c>
      <c r="K73" s="862">
        <f t="shared" ref="K73:Q73" si="49">K47*K60/1000000</f>
        <v>253.53563177969323</v>
      </c>
      <c r="L73" s="862">
        <f t="shared" si="49"/>
        <v>258.63169797846513</v>
      </c>
      <c r="M73" s="862">
        <f t="shared" si="49"/>
        <v>263.83019510783225</v>
      </c>
      <c r="N73" s="862">
        <f t="shared" si="49"/>
        <v>269.13318202949966</v>
      </c>
      <c r="O73" s="862">
        <f t="shared" si="49"/>
        <v>274.54275898829263</v>
      </c>
      <c r="P73" s="862">
        <f t="shared" si="49"/>
        <v>280.06106844395731</v>
      </c>
      <c r="Q73" s="1116">
        <f t="shared" si="49"/>
        <v>285.69029591968092</v>
      </c>
    </row>
    <row r="74" spans="3:17" s="526" customFormat="1" ht="15.75" customHeight="1" outlineLevel="1" x14ac:dyDescent="0.25">
      <c r="C74" s="22" t="s">
        <v>878</v>
      </c>
      <c r="D74" s="354" t="s">
        <v>525</v>
      </c>
      <c r="E74" s="862">
        <f t="shared" ref="E74:J74" si="50">E48*E61/1000000</f>
        <v>900</v>
      </c>
      <c r="F74" s="862">
        <f t="shared" si="50"/>
        <v>918.09</v>
      </c>
      <c r="G74" s="862">
        <f t="shared" si="50"/>
        <v>936.54360899999995</v>
      </c>
      <c r="H74" s="1138">
        <f t="shared" si="50"/>
        <v>955.36813554089997</v>
      </c>
      <c r="I74" s="862">
        <f t="shared" si="50"/>
        <v>974.57103506527221</v>
      </c>
      <c r="J74" s="862">
        <f t="shared" si="50"/>
        <v>994.15991287008433</v>
      </c>
      <c r="K74" s="862">
        <f t="shared" ref="K74:Q74" si="51">K48*K61/1000000</f>
        <v>1014.1425271187729</v>
      </c>
      <c r="L74" s="862">
        <f t="shared" si="51"/>
        <v>1034.5267919138605</v>
      </c>
      <c r="M74" s="862">
        <f t="shared" si="51"/>
        <v>1055.320780431329</v>
      </c>
      <c r="N74" s="862">
        <f t="shared" si="51"/>
        <v>1076.5327281179987</v>
      </c>
      <c r="O74" s="862">
        <f t="shared" si="51"/>
        <v>1098.1710359531705</v>
      </c>
      <c r="P74" s="862">
        <f t="shared" si="51"/>
        <v>1120.2442737758292</v>
      </c>
      <c r="Q74" s="1116">
        <f t="shared" si="51"/>
        <v>1142.7611836787237</v>
      </c>
    </row>
    <row r="75" spans="3:17" s="526" customFormat="1" ht="15.75" customHeight="1" outlineLevel="1" x14ac:dyDescent="0.25">
      <c r="C75" s="22" t="s">
        <v>879</v>
      </c>
      <c r="D75" s="354" t="s">
        <v>525</v>
      </c>
      <c r="E75" s="862">
        <f t="shared" ref="E75:J75" si="52">E49*E62/1000000</f>
        <v>3600</v>
      </c>
      <c r="F75" s="862">
        <f t="shared" si="52"/>
        <v>3672.36</v>
      </c>
      <c r="G75" s="862">
        <f t="shared" si="52"/>
        <v>3746.1744359999998</v>
      </c>
      <c r="H75" s="1138">
        <f t="shared" si="52"/>
        <v>3821.4725421635999</v>
      </c>
      <c r="I75" s="862">
        <f t="shared" si="52"/>
        <v>3898.2841402610889</v>
      </c>
      <c r="J75" s="862">
        <f t="shared" si="52"/>
        <v>3976.6396514803373</v>
      </c>
      <c r="K75" s="862">
        <f t="shared" ref="K75:Q75" si="53">K49*K62/1000000</f>
        <v>4056.5701084750917</v>
      </c>
      <c r="L75" s="862">
        <f t="shared" si="53"/>
        <v>4138.107167655442</v>
      </c>
      <c r="M75" s="862">
        <f t="shared" si="53"/>
        <v>4221.2831217253161</v>
      </c>
      <c r="N75" s="862">
        <f t="shared" si="53"/>
        <v>4306.1309124719946</v>
      </c>
      <c r="O75" s="862">
        <f t="shared" si="53"/>
        <v>4392.6841438126821</v>
      </c>
      <c r="P75" s="862">
        <f t="shared" si="53"/>
        <v>4480.977095103317</v>
      </c>
      <c r="Q75" s="1116">
        <f t="shared" si="53"/>
        <v>4571.0447347148947</v>
      </c>
    </row>
    <row r="76" spans="3:17" s="526" customFormat="1" ht="15.75" customHeight="1" outlineLevel="1" x14ac:dyDescent="0.25">
      <c r="C76" s="22" t="s">
        <v>880</v>
      </c>
      <c r="D76" s="354" t="s">
        <v>525</v>
      </c>
      <c r="E76" s="862">
        <f t="shared" ref="E76:J76" si="54">E50*E63/1000000</f>
        <v>1440</v>
      </c>
      <c r="F76" s="862">
        <f t="shared" si="54"/>
        <v>1599.84</v>
      </c>
      <c r="G76" s="862">
        <f t="shared" si="54"/>
        <v>1777.4222400000001</v>
      </c>
      <c r="H76" s="1138">
        <f t="shared" si="54"/>
        <v>1813.1484270240001</v>
      </c>
      <c r="I76" s="862">
        <f t="shared" si="54"/>
        <v>1849.5927104071825</v>
      </c>
      <c r="J76" s="862">
        <f t="shared" si="54"/>
        <v>1886.7695238863671</v>
      </c>
      <c r="K76" s="862">
        <f t="shared" ref="K76:Q76" si="55">K50*K63/1000000</f>
        <v>1924.6935913164828</v>
      </c>
      <c r="L76" s="862">
        <f t="shared" si="55"/>
        <v>1963.3799325019443</v>
      </c>
      <c r="M76" s="862">
        <f t="shared" si="55"/>
        <v>2002.8438691452332</v>
      </c>
      <c r="N76" s="862">
        <f t="shared" si="55"/>
        <v>2043.1010309150524</v>
      </c>
      <c r="O76" s="862">
        <f t="shared" si="55"/>
        <v>2084.1673616364451</v>
      </c>
      <c r="P76" s="862">
        <f t="shared" si="55"/>
        <v>2126.0591256053381</v>
      </c>
      <c r="Q76" s="1116">
        <f t="shared" si="55"/>
        <v>2168.7929140300048</v>
      </c>
    </row>
    <row r="77" spans="3:17" s="526" customFormat="1" ht="15.75" customHeight="1" outlineLevel="1" x14ac:dyDescent="0.25">
      <c r="C77" s="22" t="s">
        <v>881</v>
      </c>
      <c r="D77" s="354" t="s">
        <v>525</v>
      </c>
      <c r="E77" s="862">
        <f t="shared" ref="E77:J77" si="56">E51*E64/1000000</f>
        <v>288</v>
      </c>
      <c r="F77" s="862">
        <f t="shared" si="56"/>
        <v>319.96800000000007</v>
      </c>
      <c r="G77" s="862">
        <f t="shared" si="56"/>
        <v>355.4844480000001</v>
      </c>
      <c r="H77" s="1138">
        <f t="shared" si="56"/>
        <v>362.62968540480011</v>
      </c>
      <c r="I77" s="862">
        <f t="shared" si="56"/>
        <v>369.91854208143661</v>
      </c>
      <c r="J77" s="862">
        <f t="shared" si="56"/>
        <v>377.35390477727356</v>
      </c>
      <c r="K77" s="862">
        <f t="shared" ref="K77:Q77" si="57">K51*K64/1000000</f>
        <v>384.93871826329672</v>
      </c>
      <c r="L77" s="862">
        <f t="shared" si="57"/>
        <v>392.675986500389</v>
      </c>
      <c r="M77" s="862">
        <f t="shared" si="57"/>
        <v>400.56877382904679</v>
      </c>
      <c r="N77" s="862">
        <f t="shared" si="57"/>
        <v>408.62020618301062</v>
      </c>
      <c r="O77" s="862">
        <f t="shared" si="57"/>
        <v>416.83347232728909</v>
      </c>
      <c r="P77" s="862">
        <f t="shared" si="57"/>
        <v>425.2118251210677</v>
      </c>
      <c r="Q77" s="1116">
        <f t="shared" si="57"/>
        <v>433.75858280600113</v>
      </c>
    </row>
    <row r="78" spans="3:17" s="526" customFormat="1" ht="15.75" customHeight="1" outlineLevel="1" x14ac:dyDescent="0.25">
      <c r="C78" s="22" t="s">
        <v>882</v>
      </c>
      <c r="D78" s="354" t="s">
        <v>525</v>
      </c>
      <c r="E78" s="862">
        <f t="shared" ref="E78:J78" si="58">E52*E65/1000000</f>
        <v>1152</v>
      </c>
      <c r="F78" s="862">
        <f t="shared" si="58"/>
        <v>1279.8720000000003</v>
      </c>
      <c r="G78" s="862">
        <f t="shared" si="58"/>
        <v>1421.9377920000004</v>
      </c>
      <c r="H78" s="1138">
        <f t="shared" si="58"/>
        <v>1450.5187416192005</v>
      </c>
      <c r="I78" s="862">
        <f t="shared" si="58"/>
        <v>1479.6741683257465</v>
      </c>
      <c r="J78" s="862">
        <f t="shared" si="58"/>
        <v>1509.4156191090942</v>
      </c>
      <c r="K78" s="862">
        <f t="shared" ref="K78:Q78" si="59">K52*K65/1000000</f>
        <v>1539.7548730531869</v>
      </c>
      <c r="L78" s="862">
        <f t="shared" si="59"/>
        <v>1570.703946001556</v>
      </c>
      <c r="M78" s="862">
        <f t="shared" si="59"/>
        <v>1602.2750953161872</v>
      </c>
      <c r="N78" s="862">
        <f t="shared" si="59"/>
        <v>1634.4808247320425</v>
      </c>
      <c r="O78" s="862">
        <f t="shared" si="59"/>
        <v>1667.3338893091563</v>
      </c>
      <c r="P78" s="862">
        <f t="shared" si="59"/>
        <v>1700.8473004842708</v>
      </c>
      <c r="Q78" s="1116">
        <f t="shared" si="59"/>
        <v>1735.0343312240045</v>
      </c>
    </row>
    <row r="79" spans="3:17" s="526" customFormat="1" ht="15.75" customHeight="1" outlineLevel="1" x14ac:dyDescent="0.25">
      <c r="C79" s="22" t="s">
        <v>885</v>
      </c>
      <c r="D79" s="354" t="s">
        <v>525</v>
      </c>
      <c r="E79" s="862">
        <f t="shared" ref="E79:J79" si="60">E53*E66/1000000</f>
        <v>3673.6127999999994</v>
      </c>
      <c r="F79" s="862">
        <f t="shared" si="60"/>
        <v>4081.3838207999997</v>
      </c>
      <c r="G79" s="862">
        <f t="shared" si="60"/>
        <v>4534.4174249088001</v>
      </c>
      <c r="H79" s="1138">
        <f t="shared" si="60"/>
        <v>4625.5592151494675</v>
      </c>
      <c r="I79" s="862">
        <f t="shared" si="60"/>
        <v>4718.5329553739721</v>
      </c>
      <c r="J79" s="862">
        <f t="shared" si="60"/>
        <v>4813.3754677769894</v>
      </c>
      <c r="K79" s="862">
        <f t="shared" ref="K79:Q79" si="61">K53*K66/1000000</f>
        <v>4910.1243146793058</v>
      </c>
      <c r="L79" s="862">
        <f t="shared" si="61"/>
        <v>5008.817813404361</v>
      </c>
      <c r="M79" s="862">
        <f t="shared" si="61"/>
        <v>5109.4950514537886</v>
      </c>
      <c r="N79" s="862">
        <f t="shared" si="61"/>
        <v>5212.1959019880096</v>
      </c>
      <c r="O79" s="862">
        <f t="shared" si="61"/>
        <v>5316.9610396179687</v>
      </c>
      <c r="P79" s="862">
        <f t="shared" si="61"/>
        <v>5423.8319565142911</v>
      </c>
      <c r="Q79" s="1116">
        <f t="shared" si="61"/>
        <v>5532.850978840228</v>
      </c>
    </row>
    <row r="80" spans="3:17" s="526" customFormat="1" ht="15.75" customHeight="1" outlineLevel="1" x14ac:dyDescent="0.25">
      <c r="C80" s="22" t="s">
        <v>885</v>
      </c>
      <c r="D80" s="354" t="s">
        <v>525</v>
      </c>
      <c r="E80" s="862">
        <f t="shared" ref="E80:J80" si="62">E54*E67/1000000</f>
        <v>881.66707199999985</v>
      </c>
      <c r="F80" s="862">
        <f t="shared" si="62"/>
        <v>603.74797756416001</v>
      </c>
      <c r="G80" s="862">
        <f t="shared" si="62"/>
        <v>908.5803314363045</v>
      </c>
      <c r="H80" s="1138">
        <f t="shared" si="62"/>
        <v>926.84279609817418</v>
      </c>
      <c r="I80" s="862">
        <f t="shared" si="62"/>
        <v>945.47233629974755</v>
      </c>
      <c r="J80" s="862">
        <f t="shared" si="62"/>
        <v>964.4763302593725</v>
      </c>
      <c r="K80" s="862">
        <f t="shared" ref="K80:Q80" si="63">K54*K67/1000000</f>
        <v>983.8623044975858</v>
      </c>
      <c r="L80" s="862">
        <f t="shared" si="63"/>
        <v>1003.6379368179873</v>
      </c>
      <c r="M80" s="862">
        <f t="shared" si="63"/>
        <v>1023.8110593480288</v>
      </c>
      <c r="N80" s="862">
        <f t="shared" si="63"/>
        <v>1044.389661640924</v>
      </c>
      <c r="O80" s="862">
        <f t="shared" si="63"/>
        <v>1065.3818938399065</v>
      </c>
      <c r="P80" s="862">
        <f t="shared" si="63"/>
        <v>1086.7960699060889</v>
      </c>
      <c r="Q80" s="1116">
        <f t="shared" si="63"/>
        <v>1108.6406709112011</v>
      </c>
    </row>
    <row r="81" spans="2:17" s="526" customFormat="1" ht="15.75" customHeight="1" outlineLevel="1" x14ac:dyDescent="0.25">
      <c r="C81" s="29" t="s">
        <v>885</v>
      </c>
      <c r="D81" s="357" t="s">
        <v>525</v>
      </c>
      <c r="E81" s="1121">
        <f t="shared" ref="E81:J81" si="64">E55*E68/1000000</f>
        <v>35.266682879999998</v>
      </c>
      <c r="F81" s="1121">
        <f t="shared" si="64"/>
        <v>35.975543205887995</v>
      </c>
      <c r="G81" s="1121">
        <f t="shared" si="64"/>
        <v>36.698651624326345</v>
      </c>
      <c r="H81" s="1139">
        <f t="shared" si="64"/>
        <v>37.436294521975306</v>
      </c>
      <c r="I81" s="1121">
        <f t="shared" si="64"/>
        <v>38.188764041867017</v>
      </c>
      <c r="J81" s="1121">
        <f t="shared" si="64"/>
        <v>38.95635819910855</v>
      </c>
      <c r="K81" s="1121">
        <f t="shared" ref="K81:Q81" si="65">K55*K68/1000000</f>
        <v>39.739380998910626</v>
      </c>
      <c r="L81" s="1121">
        <f t="shared" si="65"/>
        <v>40.538142556988731</v>
      </c>
      <c r="M81" s="1121">
        <f t="shared" si="65"/>
        <v>41.3529592223842</v>
      </c>
      <c r="N81" s="1121">
        <f t="shared" si="65"/>
        <v>42.184153702754116</v>
      </c>
      <c r="O81" s="1121">
        <f t="shared" si="65"/>
        <v>43.03205519217947</v>
      </c>
      <c r="P81" s="1121">
        <f t="shared" si="65"/>
        <v>43.896999501542282</v>
      </c>
      <c r="Q81" s="865">
        <f t="shared" si="65"/>
        <v>44.779329191523289</v>
      </c>
    </row>
    <row r="82" spans="2:17" s="1042" customFormat="1" ht="15.75" customHeight="1" outlineLevel="1" x14ac:dyDescent="0.25">
      <c r="C82" s="517" t="s">
        <v>888</v>
      </c>
      <c r="D82" s="1063" t="s">
        <v>525</v>
      </c>
      <c r="E82" s="1124">
        <f t="shared" ref="E82:Q82" si="66">SUM(E72:E81)</f>
        <v>12195.646554879999</v>
      </c>
      <c r="F82" s="1124">
        <f t="shared" si="66"/>
        <v>12740.947966570049</v>
      </c>
      <c r="G82" s="1124">
        <f t="shared" si="66"/>
        <v>13951.68233521943</v>
      </c>
      <c r="H82" s="1140">
        <f t="shared" si="66"/>
        <v>14232.215996407342</v>
      </c>
      <c r="I82" s="1124">
        <f t="shared" si="66"/>
        <v>14518.397410622631</v>
      </c>
      <c r="J82" s="1124">
        <f t="shared" si="66"/>
        <v>14810.339871576147</v>
      </c>
      <c r="K82" s="1124">
        <f t="shared" si="66"/>
        <v>15108.158950182325</v>
      </c>
      <c r="L82" s="1124">
        <f t="shared" si="66"/>
        <v>15411.972540330995</v>
      </c>
      <c r="M82" s="1124">
        <f t="shared" si="66"/>
        <v>15721.900905579147</v>
      </c>
      <c r="N82" s="1124">
        <f t="shared" si="66"/>
        <v>16038.066726781284</v>
      </c>
      <c r="O82" s="1124">
        <f t="shared" si="66"/>
        <v>16360.595150677091</v>
      </c>
      <c r="P82" s="1124">
        <f t="shared" si="66"/>
        <v>16689.613839455706</v>
      </c>
      <c r="Q82" s="1125">
        <f t="shared" si="66"/>
        <v>17025.253021316261</v>
      </c>
    </row>
    <row r="83" spans="2:17" s="533" customFormat="1" ht="15.75" customHeight="1" outlineLevel="1" x14ac:dyDescent="0.3">
      <c r="B83" s="526"/>
    </row>
    <row r="84" spans="2:17" s="533" customFormat="1" ht="15.75" customHeight="1" outlineLevel="1" x14ac:dyDescent="0.3">
      <c r="B84" s="1141">
        <v>2</v>
      </c>
      <c r="C84" s="517" t="s">
        <v>892</v>
      </c>
      <c r="D84" s="1127"/>
      <c r="E84" s="1127"/>
      <c r="F84" s="1127"/>
      <c r="G84" s="1127"/>
      <c r="H84" s="1128"/>
      <c r="I84" s="1127"/>
      <c r="J84" s="1127"/>
      <c r="K84" s="1127"/>
      <c r="L84" s="1127"/>
      <c r="M84" s="1127"/>
      <c r="N84" s="1127"/>
      <c r="O84" s="1127"/>
      <c r="P84" s="1127"/>
      <c r="Q84" s="1129"/>
    </row>
    <row r="85" spans="2:17" s="4" customFormat="1" ht="20.25" customHeight="1" outlineLevel="1" x14ac:dyDescent="0.25">
      <c r="C85" s="517" t="s">
        <v>889</v>
      </c>
      <c r="D85" s="1127"/>
      <c r="E85" s="1127"/>
      <c r="F85" s="1127"/>
      <c r="G85" s="1127"/>
      <c r="H85" s="1128"/>
      <c r="I85" s="1127"/>
      <c r="J85" s="1127"/>
      <c r="K85" s="1127"/>
      <c r="L85" s="1127"/>
      <c r="M85" s="1127"/>
      <c r="N85" s="1127"/>
      <c r="O85" s="1127"/>
      <c r="P85" s="1127"/>
      <c r="Q85" s="1129"/>
    </row>
    <row r="86" spans="2:17" s="7" customFormat="1" ht="17.25" customHeight="1" outlineLevel="1" thickBot="1" x14ac:dyDescent="0.3">
      <c r="C86" s="366" t="s">
        <v>883</v>
      </c>
      <c r="D86" s="1142" t="s">
        <v>884</v>
      </c>
      <c r="E86" s="59" t="str">
        <f>+E71</f>
        <v>2013</v>
      </c>
      <c r="F86" s="59" t="str">
        <f t="shared" ref="F86:Q86" si="67">+F71</f>
        <v>2014</v>
      </c>
      <c r="G86" s="59" t="str">
        <f t="shared" si="67"/>
        <v>2015</v>
      </c>
      <c r="H86" s="58">
        <f t="shared" si="67"/>
        <v>2016</v>
      </c>
      <c r="I86" s="59">
        <f t="shared" si="67"/>
        <v>2017</v>
      </c>
      <c r="J86" s="59">
        <f t="shared" si="67"/>
        <v>2018</v>
      </c>
      <c r="K86" s="59">
        <f t="shared" si="67"/>
        <v>2019</v>
      </c>
      <c r="L86" s="59">
        <f t="shared" si="67"/>
        <v>2020</v>
      </c>
      <c r="M86" s="59">
        <f t="shared" si="67"/>
        <v>2021</v>
      </c>
      <c r="N86" s="59">
        <f t="shared" si="67"/>
        <v>2022</v>
      </c>
      <c r="O86" s="59">
        <f t="shared" si="67"/>
        <v>2023</v>
      </c>
      <c r="P86" s="59">
        <f t="shared" si="67"/>
        <v>2024</v>
      </c>
      <c r="Q86" s="60">
        <f t="shared" si="67"/>
        <v>2025</v>
      </c>
    </row>
    <row r="87" spans="2:17" s="4" customFormat="1" ht="15.75" customHeight="1" outlineLevel="1" x14ac:dyDescent="0.25">
      <c r="C87" s="22" t="s">
        <v>876</v>
      </c>
      <c r="D87" s="354" t="s">
        <v>890</v>
      </c>
      <c r="E87" s="1130">
        <v>100</v>
      </c>
      <c r="F87" s="1130">
        <f t="shared" ref="F87:Q87" si="68">+E87+75</f>
        <v>175</v>
      </c>
      <c r="G87" s="1130">
        <f t="shared" si="68"/>
        <v>250</v>
      </c>
      <c r="H87" s="1131">
        <f t="shared" si="68"/>
        <v>325</v>
      </c>
      <c r="I87" s="1130">
        <f t="shared" si="68"/>
        <v>400</v>
      </c>
      <c r="J87" s="1130">
        <f t="shared" si="68"/>
        <v>475</v>
      </c>
      <c r="K87" s="1130">
        <f t="shared" si="68"/>
        <v>550</v>
      </c>
      <c r="L87" s="1130">
        <f t="shared" si="68"/>
        <v>625</v>
      </c>
      <c r="M87" s="1130">
        <f t="shared" si="68"/>
        <v>700</v>
      </c>
      <c r="N87" s="1130">
        <f t="shared" si="68"/>
        <v>775</v>
      </c>
      <c r="O87" s="1130">
        <f t="shared" si="68"/>
        <v>850</v>
      </c>
      <c r="P87" s="1130">
        <f t="shared" si="68"/>
        <v>925</v>
      </c>
      <c r="Q87" s="1132">
        <f t="shared" si="68"/>
        <v>1000</v>
      </c>
    </row>
    <row r="88" spans="2:17" s="4" customFormat="1" ht="15.75" customHeight="1" outlineLevel="1" x14ac:dyDescent="0.25">
      <c r="C88" s="22" t="s">
        <v>877</v>
      </c>
      <c r="D88" s="354" t="s">
        <v>890</v>
      </c>
      <c r="E88" s="1130">
        <f>E87*30</f>
        <v>3000</v>
      </c>
      <c r="F88" s="1130">
        <f>+E88*1.01</f>
        <v>3030</v>
      </c>
      <c r="G88" s="1130">
        <f t="shared" ref="G88:G96" si="69">+F88*1.01</f>
        <v>3060.3</v>
      </c>
      <c r="H88" s="1131">
        <f t="shared" ref="H88:H96" si="70">+G88*1.01</f>
        <v>3090.9030000000002</v>
      </c>
      <c r="I88" s="1130">
        <f t="shared" ref="I88:I96" si="71">+H88*1.01</f>
        <v>3121.8120300000005</v>
      </c>
      <c r="J88" s="1130">
        <f t="shared" ref="J88:J96" si="72">+I88*1.01</f>
        <v>3153.0301503000005</v>
      </c>
      <c r="K88" s="1130">
        <f t="shared" ref="K88:K96" si="73">+J88*1.01</f>
        <v>3184.5604518030004</v>
      </c>
      <c r="L88" s="1130">
        <f t="shared" ref="L88:L96" si="74">+K88*1.01</f>
        <v>3216.4060563210305</v>
      </c>
      <c r="M88" s="1130">
        <f t="shared" ref="M88:M96" si="75">+L88*1.01</f>
        <v>3248.5701168842406</v>
      </c>
      <c r="N88" s="1130">
        <f t="shared" ref="N88:N96" si="76">+M88*1.01</f>
        <v>3281.0558180530829</v>
      </c>
      <c r="O88" s="1130">
        <f t="shared" ref="O88:O96" si="77">+N88*1.01</f>
        <v>3313.8663762336137</v>
      </c>
      <c r="P88" s="1130">
        <f t="shared" ref="P88:P96" si="78">+O88*1.01</f>
        <v>3347.00503999595</v>
      </c>
      <c r="Q88" s="1132">
        <f t="shared" ref="Q88:Q96" si="79">+P88*1.01</f>
        <v>3380.4750903959098</v>
      </c>
    </row>
    <row r="89" spans="2:17" s="4" customFormat="1" ht="15.75" customHeight="1" outlineLevel="1" x14ac:dyDescent="0.25">
      <c r="C89" s="22" t="s">
        <v>878</v>
      </c>
      <c r="D89" s="354" t="s">
        <v>890</v>
      </c>
      <c r="E89" s="1130">
        <f>E88*2</f>
        <v>6000</v>
      </c>
      <c r="F89" s="1130">
        <f t="shared" ref="F89:F96" si="80">+E89*1.01</f>
        <v>6060</v>
      </c>
      <c r="G89" s="1130">
        <f t="shared" si="69"/>
        <v>6120.6</v>
      </c>
      <c r="H89" s="1131">
        <f t="shared" si="70"/>
        <v>6181.8060000000005</v>
      </c>
      <c r="I89" s="1130">
        <f t="shared" si="71"/>
        <v>6243.624060000001</v>
      </c>
      <c r="J89" s="1130">
        <f t="shared" si="72"/>
        <v>6306.060300600001</v>
      </c>
      <c r="K89" s="1130">
        <f t="shared" si="73"/>
        <v>6369.1209036060009</v>
      </c>
      <c r="L89" s="1130">
        <f t="shared" si="74"/>
        <v>6432.812112642061</v>
      </c>
      <c r="M89" s="1130">
        <f t="shared" si="75"/>
        <v>6497.1402337684813</v>
      </c>
      <c r="N89" s="1130">
        <f t="shared" si="76"/>
        <v>6562.1116361061659</v>
      </c>
      <c r="O89" s="1130">
        <f t="shared" si="77"/>
        <v>6627.7327524672273</v>
      </c>
      <c r="P89" s="1130">
        <f t="shared" si="78"/>
        <v>6694.0100799919001</v>
      </c>
      <c r="Q89" s="1132">
        <f t="shared" si="79"/>
        <v>6760.9501807918195</v>
      </c>
    </row>
    <row r="90" spans="2:17" s="4" customFormat="1" ht="15.75" customHeight="1" outlineLevel="1" x14ac:dyDescent="0.25">
      <c r="C90" s="22" t="s">
        <v>879</v>
      </c>
      <c r="D90" s="354" t="s">
        <v>890</v>
      </c>
      <c r="E90" s="1130">
        <f t="shared" ref="E90:E96" si="81">E89*2</f>
        <v>12000</v>
      </c>
      <c r="F90" s="1130">
        <f t="shared" si="80"/>
        <v>12120</v>
      </c>
      <c r="G90" s="1130">
        <f t="shared" si="69"/>
        <v>12241.2</v>
      </c>
      <c r="H90" s="1131">
        <f t="shared" si="70"/>
        <v>12363.612000000001</v>
      </c>
      <c r="I90" s="1130">
        <f t="shared" si="71"/>
        <v>12487.248120000002</v>
      </c>
      <c r="J90" s="1130">
        <f t="shared" si="72"/>
        <v>12612.120601200002</v>
      </c>
      <c r="K90" s="1130">
        <f t="shared" si="73"/>
        <v>12738.241807212002</v>
      </c>
      <c r="L90" s="1130">
        <f t="shared" si="74"/>
        <v>12865.624225284122</v>
      </c>
      <c r="M90" s="1130">
        <f t="shared" si="75"/>
        <v>12994.280467536963</v>
      </c>
      <c r="N90" s="1130">
        <f t="shared" si="76"/>
        <v>13124.223272212332</v>
      </c>
      <c r="O90" s="1130">
        <f t="shared" si="77"/>
        <v>13255.465504934455</v>
      </c>
      <c r="P90" s="1130">
        <f t="shared" si="78"/>
        <v>13388.0201599838</v>
      </c>
      <c r="Q90" s="1132">
        <f t="shared" si="79"/>
        <v>13521.900361583639</v>
      </c>
    </row>
    <row r="91" spans="2:17" s="4" customFormat="1" ht="15.75" customHeight="1" outlineLevel="1" x14ac:dyDescent="0.25">
      <c r="C91" s="22" t="s">
        <v>880</v>
      </c>
      <c r="D91" s="354" t="s">
        <v>890</v>
      </c>
      <c r="E91" s="1130">
        <f t="shared" si="81"/>
        <v>24000</v>
      </c>
      <c r="F91" s="1130">
        <f t="shared" si="80"/>
        <v>24240</v>
      </c>
      <c r="G91" s="1130">
        <f t="shared" si="69"/>
        <v>24482.400000000001</v>
      </c>
      <c r="H91" s="1131">
        <f t="shared" si="70"/>
        <v>24727.224000000002</v>
      </c>
      <c r="I91" s="1130">
        <f t="shared" si="71"/>
        <v>24974.496240000004</v>
      </c>
      <c r="J91" s="1130">
        <f t="shared" si="72"/>
        <v>25224.241202400004</v>
      </c>
      <c r="K91" s="1130">
        <f t="shared" si="73"/>
        <v>25476.483614424003</v>
      </c>
      <c r="L91" s="1130">
        <f t="shared" si="74"/>
        <v>25731.248450568244</v>
      </c>
      <c r="M91" s="1130">
        <f t="shared" si="75"/>
        <v>25988.560935073925</v>
      </c>
      <c r="N91" s="1130">
        <f t="shared" si="76"/>
        <v>26248.446544424663</v>
      </c>
      <c r="O91" s="1130">
        <f t="shared" si="77"/>
        <v>26510.931009868909</v>
      </c>
      <c r="P91" s="1130">
        <f t="shared" si="78"/>
        <v>26776.0403199676</v>
      </c>
      <c r="Q91" s="1132">
        <f t="shared" si="79"/>
        <v>27043.800723167278</v>
      </c>
    </row>
    <row r="92" spans="2:17" s="4" customFormat="1" ht="15.75" customHeight="1" outlineLevel="1" x14ac:dyDescent="0.25">
      <c r="C92" s="22" t="s">
        <v>881</v>
      </c>
      <c r="D92" s="354" t="s">
        <v>890</v>
      </c>
      <c r="E92" s="1130">
        <f t="shared" si="81"/>
        <v>48000</v>
      </c>
      <c r="F92" s="1130">
        <f t="shared" si="80"/>
        <v>48480</v>
      </c>
      <c r="G92" s="1130">
        <f t="shared" si="69"/>
        <v>48964.800000000003</v>
      </c>
      <c r="H92" s="1131">
        <f t="shared" si="70"/>
        <v>49454.448000000004</v>
      </c>
      <c r="I92" s="1130">
        <f t="shared" si="71"/>
        <v>49948.992480000008</v>
      </c>
      <c r="J92" s="1130">
        <f t="shared" si="72"/>
        <v>50448.482404800008</v>
      </c>
      <c r="K92" s="1130">
        <f t="shared" si="73"/>
        <v>50952.967228848007</v>
      </c>
      <c r="L92" s="1130">
        <f t="shared" si="74"/>
        <v>51462.496901136488</v>
      </c>
      <c r="M92" s="1130">
        <f t="shared" si="75"/>
        <v>51977.12187014785</v>
      </c>
      <c r="N92" s="1130">
        <f t="shared" si="76"/>
        <v>52496.893088849327</v>
      </c>
      <c r="O92" s="1130">
        <f t="shared" si="77"/>
        <v>53021.862019737819</v>
      </c>
      <c r="P92" s="1130">
        <f t="shared" si="78"/>
        <v>53552.0806399352</v>
      </c>
      <c r="Q92" s="1132">
        <f t="shared" si="79"/>
        <v>54087.601446334556</v>
      </c>
    </row>
    <row r="93" spans="2:17" s="4" customFormat="1" ht="15.75" customHeight="1" outlineLevel="1" x14ac:dyDescent="0.25">
      <c r="C93" s="22" t="s">
        <v>882</v>
      </c>
      <c r="D93" s="354" t="s">
        <v>890</v>
      </c>
      <c r="E93" s="1130">
        <f t="shared" si="81"/>
        <v>96000</v>
      </c>
      <c r="F93" s="1130">
        <f t="shared" si="80"/>
        <v>96960</v>
      </c>
      <c r="G93" s="1130">
        <f t="shared" si="69"/>
        <v>97929.600000000006</v>
      </c>
      <c r="H93" s="1131">
        <f t="shared" si="70"/>
        <v>98908.896000000008</v>
      </c>
      <c r="I93" s="1130">
        <f t="shared" si="71"/>
        <v>99897.984960000016</v>
      </c>
      <c r="J93" s="1130">
        <f t="shared" si="72"/>
        <v>100896.96480960002</v>
      </c>
      <c r="K93" s="1130">
        <f t="shared" si="73"/>
        <v>101905.93445769601</v>
      </c>
      <c r="L93" s="1130">
        <f t="shared" si="74"/>
        <v>102924.99380227298</v>
      </c>
      <c r="M93" s="1130">
        <f t="shared" si="75"/>
        <v>103954.2437402957</v>
      </c>
      <c r="N93" s="1130">
        <f t="shared" si="76"/>
        <v>104993.78617769865</v>
      </c>
      <c r="O93" s="1130">
        <f t="shared" si="77"/>
        <v>106043.72403947564</v>
      </c>
      <c r="P93" s="1130">
        <f t="shared" si="78"/>
        <v>107104.1612798704</v>
      </c>
      <c r="Q93" s="1132">
        <f t="shared" si="79"/>
        <v>108175.20289266911</v>
      </c>
    </row>
    <row r="94" spans="2:17" s="4" customFormat="1" ht="15.75" customHeight="1" outlineLevel="1" x14ac:dyDescent="0.25">
      <c r="C94" s="22" t="s">
        <v>885</v>
      </c>
      <c r="D94" s="354" t="s">
        <v>890</v>
      </c>
      <c r="E94" s="1130">
        <f t="shared" si="81"/>
        <v>192000</v>
      </c>
      <c r="F94" s="1130">
        <f t="shared" si="80"/>
        <v>193920</v>
      </c>
      <c r="G94" s="1130">
        <f t="shared" si="69"/>
        <v>195859.20000000001</v>
      </c>
      <c r="H94" s="1131">
        <f t="shared" si="70"/>
        <v>197817.79200000002</v>
      </c>
      <c r="I94" s="1130">
        <f t="shared" si="71"/>
        <v>199795.96992000003</v>
      </c>
      <c r="J94" s="1130">
        <f t="shared" si="72"/>
        <v>201793.92961920003</v>
      </c>
      <c r="K94" s="1130">
        <f t="shared" si="73"/>
        <v>203811.86891539203</v>
      </c>
      <c r="L94" s="1130">
        <f t="shared" si="74"/>
        <v>205849.98760454595</v>
      </c>
      <c r="M94" s="1130">
        <f t="shared" si="75"/>
        <v>207908.4874805914</v>
      </c>
      <c r="N94" s="1130">
        <f t="shared" si="76"/>
        <v>209987.57235539731</v>
      </c>
      <c r="O94" s="1130">
        <f t="shared" si="77"/>
        <v>212087.44807895127</v>
      </c>
      <c r="P94" s="1130">
        <f t="shared" si="78"/>
        <v>214208.3225597408</v>
      </c>
      <c r="Q94" s="1132">
        <f t="shared" si="79"/>
        <v>216350.40578533823</v>
      </c>
    </row>
    <row r="95" spans="2:17" s="4" customFormat="1" ht="15.75" customHeight="1" outlineLevel="1" x14ac:dyDescent="0.25">
      <c r="C95" s="22" t="s">
        <v>885</v>
      </c>
      <c r="D95" s="354" t="s">
        <v>890</v>
      </c>
      <c r="E95" s="1130">
        <f t="shared" si="81"/>
        <v>384000</v>
      </c>
      <c r="F95" s="1130">
        <f t="shared" si="80"/>
        <v>387840</v>
      </c>
      <c r="G95" s="1130">
        <f t="shared" si="69"/>
        <v>391718.40000000002</v>
      </c>
      <c r="H95" s="1131">
        <f t="shared" si="70"/>
        <v>395635.58400000003</v>
      </c>
      <c r="I95" s="1130">
        <f t="shared" si="71"/>
        <v>399591.93984000006</v>
      </c>
      <c r="J95" s="1130">
        <f t="shared" si="72"/>
        <v>403587.85923840007</v>
      </c>
      <c r="K95" s="1130">
        <f t="shared" si="73"/>
        <v>407623.73783078406</v>
      </c>
      <c r="L95" s="1130">
        <f t="shared" si="74"/>
        <v>411699.97520909191</v>
      </c>
      <c r="M95" s="1130">
        <f t="shared" si="75"/>
        <v>415816.9749611828</v>
      </c>
      <c r="N95" s="1130">
        <f t="shared" si="76"/>
        <v>419975.14471079462</v>
      </c>
      <c r="O95" s="1130">
        <f t="shared" si="77"/>
        <v>424174.89615790255</v>
      </c>
      <c r="P95" s="1130">
        <f t="shared" si="78"/>
        <v>428416.6451194816</v>
      </c>
      <c r="Q95" s="1132">
        <f t="shared" si="79"/>
        <v>432700.81157067645</v>
      </c>
    </row>
    <row r="96" spans="2:17" s="4" customFormat="1" ht="15.75" customHeight="1" outlineLevel="1" x14ac:dyDescent="0.25">
      <c r="C96" s="29" t="s">
        <v>885</v>
      </c>
      <c r="D96" s="357" t="s">
        <v>890</v>
      </c>
      <c r="E96" s="1133">
        <f t="shared" si="81"/>
        <v>768000</v>
      </c>
      <c r="F96" s="1133">
        <f t="shared" si="80"/>
        <v>775680</v>
      </c>
      <c r="G96" s="1133">
        <f t="shared" si="69"/>
        <v>783436.80000000005</v>
      </c>
      <c r="H96" s="1134">
        <f t="shared" si="70"/>
        <v>791271.16800000006</v>
      </c>
      <c r="I96" s="1133">
        <f t="shared" si="71"/>
        <v>799183.87968000013</v>
      </c>
      <c r="J96" s="1133">
        <f t="shared" si="72"/>
        <v>807175.71847680013</v>
      </c>
      <c r="K96" s="1133">
        <f t="shared" si="73"/>
        <v>815247.47566156811</v>
      </c>
      <c r="L96" s="1133">
        <f t="shared" si="74"/>
        <v>823399.95041818381</v>
      </c>
      <c r="M96" s="1133">
        <f t="shared" si="75"/>
        <v>831633.9499223656</v>
      </c>
      <c r="N96" s="1133">
        <f t="shared" si="76"/>
        <v>839950.28942158923</v>
      </c>
      <c r="O96" s="1133">
        <f t="shared" si="77"/>
        <v>848349.7923158051</v>
      </c>
      <c r="P96" s="1133">
        <f t="shared" si="78"/>
        <v>856833.29023896321</v>
      </c>
      <c r="Q96" s="1135">
        <f t="shared" si="79"/>
        <v>865401.6231413529</v>
      </c>
    </row>
    <row r="97" spans="3:17" s="4" customFormat="1" ht="15.75" customHeight="1" outlineLevel="1" x14ac:dyDescent="0.25"/>
    <row r="98" spans="3:17" s="4" customFormat="1" ht="15.75" customHeight="1" outlineLevel="1" x14ac:dyDescent="0.25">
      <c r="C98" s="517" t="s">
        <v>886</v>
      </c>
      <c r="D98" s="1127"/>
      <c r="E98" s="1127"/>
      <c r="F98" s="1127"/>
      <c r="G98" s="1127"/>
      <c r="H98" s="1128"/>
      <c r="I98" s="1127"/>
      <c r="J98" s="1127"/>
      <c r="K98" s="1127"/>
      <c r="L98" s="1127"/>
      <c r="M98" s="1127"/>
      <c r="N98" s="1127"/>
      <c r="O98" s="1127"/>
      <c r="P98" s="1127"/>
      <c r="Q98" s="1129"/>
    </row>
    <row r="99" spans="3:17" s="4" customFormat="1" ht="15.75" customHeight="1" outlineLevel="1" thickBot="1" x14ac:dyDescent="0.3">
      <c r="C99" s="366" t="s">
        <v>883</v>
      </c>
      <c r="D99" s="1143" t="s">
        <v>884</v>
      </c>
      <c r="E99" s="59" t="str">
        <f>+E86</f>
        <v>2013</v>
      </c>
      <c r="F99" s="59" t="str">
        <f t="shared" ref="F99:Q99" si="82">+F86</f>
        <v>2014</v>
      </c>
      <c r="G99" s="59" t="str">
        <f t="shared" si="82"/>
        <v>2015</v>
      </c>
      <c r="H99" s="58">
        <f t="shared" si="82"/>
        <v>2016</v>
      </c>
      <c r="I99" s="59">
        <f t="shared" si="82"/>
        <v>2017</v>
      </c>
      <c r="J99" s="59">
        <f t="shared" si="82"/>
        <v>2018</v>
      </c>
      <c r="K99" s="59">
        <f t="shared" si="82"/>
        <v>2019</v>
      </c>
      <c r="L99" s="59">
        <f t="shared" si="82"/>
        <v>2020</v>
      </c>
      <c r="M99" s="59">
        <f t="shared" si="82"/>
        <v>2021</v>
      </c>
      <c r="N99" s="59">
        <f t="shared" si="82"/>
        <v>2022</v>
      </c>
      <c r="O99" s="59">
        <f t="shared" si="82"/>
        <v>2023</v>
      </c>
      <c r="P99" s="59">
        <f t="shared" si="82"/>
        <v>2024</v>
      </c>
      <c r="Q99" s="60">
        <f t="shared" si="82"/>
        <v>2025</v>
      </c>
    </row>
    <row r="100" spans="3:17" s="4" customFormat="1" ht="15.75" customHeight="1" outlineLevel="1" x14ac:dyDescent="0.25">
      <c r="C100" s="22" t="s">
        <v>876</v>
      </c>
      <c r="D100" s="1136" t="s">
        <v>525</v>
      </c>
      <c r="E100" s="1130">
        <v>1000</v>
      </c>
      <c r="F100" s="1130">
        <f t="shared" ref="F100:Q100" si="83">+E100+75</f>
        <v>1075</v>
      </c>
      <c r="G100" s="1130">
        <f t="shared" si="83"/>
        <v>1150</v>
      </c>
      <c r="H100" s="1131">
        <f t="shared" si="83"/>
        <v>1225</v>
      </c>
      <c r="I100" s="1130">
        <f t="shared" si="83"/>
        <v>1300</v>
      </c>
      <c r="J100" s="1130">
        <f t="shared" si="83"/>
        <v>1375</v>
      </c>
      <c r="K100" s="1130">
        <f t="shared" si="83"/>
        <v>1450</v>
      </c>
      <c r="L100" s="1130">
        <f t="shared" si="83"/>
        <v>1525</v>
      </c>
      <c r="M100" s="1130">
        <f t="shared" si="83"/>
        <v>1600</v>
      </c>
      <c r="N100" s="1130">
        <f t="shared" si="83"/>
        <v>1675</v>
      </c>
      <c r="O100" s="1130">
        <f t="shared" si="83"/>
        <v>1750</v>
      </c>
      <c r="P100" s="1130">
        <f t="shared" si="83"/>
        <v>1825</v>
      </c>
      <c r="Q100" s="1132">
        <f t="shared" si="83"/>
        <v>1900</v>
      </c>
    </row>
    <row r="101" spans="3:17" s="4" customFormat="1" ht="15.75" customHeight="1" outlineLevel="1" x14ac:dyDescent="0.25">
      <c r="C101" s="22" t="s">
        <v>877</v>
      </c>
      <c r="D101" s="1136" t="s">
        <v>525</v>
      </c>
      <c r="E101" s="1130">
        <f>E100*75</f>
        <v>75000</v>
      </c>
      <c r="F101" s="1130">
        <f t="shared" ref="F101:G103" si="84">+E101*1.01</f>
        <v>75750</v>
      </c>
      <c r="G101" s="1130">
        <f t="shared" si="84"/>
        <v>76507.5</v>
      </c>
      <c r="H101" s="1131">
        <f t="shared" ref="H101:H109" si="85">+G101*1.01</f>
        <v>77272.574999999997</v>
      </c>
      <c r="I101" s="1130">
        <f t="shared" ref="I101:I109" si="86">+H101*1.01</f>
        <v>78045.300749999995</v>
      </c>
      <c r="J101" s="1130">
        <f t="shared" ref="J101:J109" si="87">+I101*1.01</f>
        <v>78825.753757500002</v>
      </c>
      <c r="K101" s="1130">
        <f t="shared" ref="K101:K109" si="88">+J101*1.01</f>
        <v>79614.011295075004</v>
      </c>
      <c r="L101" s="1130">
        <f t="shared" ref="L101:L109" si="89">+K101*1.01</f>
        <v>80410.151408025762</v>
      </c>
      <c r="M101" s="1130">
        <f t="shared" ref="M101:M109" si="90">+L101*1.01</f>
        <v>81214.252922106025</v>
      </c>
      <c r="N101" s="1130">
        <f t="shared" ref="N101:N109" si="91">+M101*1.01</f>
        <v>82026.395451327087</v>
      </c>
      <c r="O101" s="1130">
        <f t="shared" ref="O101:O109" si="92">+N101*1.01</f>
        <v>82846.659405840357</v>
      </c>
      <c r="P101" s="1130">
        <f t="shared" ref="P101:P109" si="93">+O101*1.01</f>
        <v>83675.125999898766</v>
      </c>
      <c r="Q101" s="1132">
        <f t="shared" ref="Q101:Q109" si="94">+P101*1.01</f>
        <v>84511.877259897752</v>
      </c>
    </row>
    <row r="102" spans="3:17" s="4" customFormat="1" ht="15.75" customHeight="1" outlineLevel="1" x14ac:dyDescent="0.25">
      <c r="C102" s="22" t="s">
        <v>878</v>
      </c>
      <c r="D102" s="1136" t="s">
        <v>525</v>
      </c>
      <c r="E102" s="1130">
        <f>E101*2</f>
        <v>150000</v>
      </c>
      <c r="F102" s="1130">
        <f t="shared" si="84"/>
        <v>151500</v>
      </c>
      <c r="G102" s="1130">
        <f t="shared" si="84"/>
        <v>153015</v>
      </c>
      <c r="H102" s="1131">
        <f t="shared" si="85"/>
        <v>154545.15</v>
      </c>
      <c r="I102" s="1130">
        <f t="shared" si="86"/>
        <v>156090.60149999999</v>
      </c>
      <c r="J102" s="1130">
        <f t="shared" si="87"/>
        <v>157651.507515</v>
      </c>
      <c r="K102" s="1130">
        <f t="shared" si="88"/>
        <v>159228.02259015001</v>
      </c>
      <c r="L102" s="1130">
        <f t="shared" si="89"/>
        <v>160820.30281605152</v>
      </c>
      <c r="M102" s="1130">
        <f t="shared" si="90"/>
        <v>162428.50584421205</v>
      </c>
      <c r="N102" s="1130">
        <f t="shared" si="91"/>
        <v>164052.79090265417</v>
      </c>
      <c r="O102" s="1130">
        <f t="shared" si="92"/>
        <v>165693.31881168071</v>
      </c>
      <c r="P102" s="1130">
        <f t="shared" si="93"/>
        <v>167350.25199979753</v>
      </c>
      <c r="Q102" s="1132">
        <f t="shared" si="94"/>
        <v>169023.7545197955</v>
      </c>
    </row>
    <row r="103" spans="3:17" s="4" customFormat="1" ht="15.75" customHeight="1" outlineLevel="1" x14ac:dyDescent="0.25">
      <c r="C103" s="22" t="s">
        <v>879</v>
      </c>
      <c r="D103" s="1136" t="s">
        <v>525</v>
      </c>
      <c r="E103" s="1130">
        <f>E102*2</f>
        <v>300000</v>
      </c>
      <c r="F103" s="1130">
        <f t="shared" si="84"/>
        <v>303000</v>
      </c>
      <c r="G103" s="1130">
        <f t="shared" si="84"/>
        <v>306030</v>
      </c>
      <c r="H103" s="1131">
        <f t="shared" si="85"/>
        <v>309090.3</v>
      </c>
      <c r="I103" s="1130">
        <f t="shared" si="86"/>
        <v>312181.20299999998</v>
      </c>
      <c r="J103" s="1130">
        <f t="shared" si="87"/>
        <v>315303.01503000001</v>
      </c>
      <c r="K103" s="1130">
        <f t="shared" si="88"/>
        <v>318456.04518030002</v>
      </c>
      <c r="L103" s="1130">
        <f t="shared" si="89"/>
        <v>321640.60563210305</v>
      </c>
      <c r="M103" s="1130">
        <f t="shared" si="90"/>
        <v>324857.0116884241</v>
      </c>
      <c r="N103" s="1130">
        <f t="shared" si="91"/>
        <v>328105.58180530835</v>
      </c>
      <c r="O103" s="1130">
        <f t="shared" si="92"/>
        <v>331386.63762336143</v>
      </c>
      <c r="P103" s="1130">
        <f t="shared" si="93"/>
        <v>334700.50399959506</v>
      </c>
      <c r="Q103" s="1132">
        <f t="shared" si="94"/>
        <v>338047.50903959101</v>
      </c>
    </row>
    <row r="104" spans="3:17" s="4" customFormat="1" ht="15.75" customHeight="1" outlineLevel="1" x14ac:dyDescent="0.25">
      <c r="C104" s="22" t="s">
        <v>880</v>
      </c>
      <c r="D104" s="1136" t="s">
        <v>525</v>
      </c>
      <c r="E104" s="1130">
        <f>E103*0.2</f>
        <v>60000</v>
      </c>
      <c r="F104" s="1130">
        <f t="shared" ref="F104:G107" si="95">+E104*1.1</f>
        <v>66000</v>
      </c>
      <c r="G104" s="1130">
        <f t="shared" si="95"/>
        <v>72600</v>
      </c>
      <c r="H104" s="1131">
        <f t="shared" si="85"/>
        <v>73326</v>
      </c>
      <c r="I104" s="1130">
        <f t="shared" si="86"/>
        <v>74059.259999999995</v>
      </c>
      <c r="J104" s="1130">
        <f t="shared" si="87"/>
        <v>74799.852599999998</v>
      </c>
      <c r="K104" s="1130">
        <f t="shared" si="88"/>
        <v>75547.851125999994</v>
      </c>
      <c r="L104" s="1130">
        <f t="shared" si="89"/>
        <v>76303.329637260002</v>
      </c>
      <c r="M104" s="1130">
        <f t="shared" si="90"/>
        <v>77066.362933632598</v>
      </c>
      <c r="N104" s="1130">
        <f t="shared" si="91"/>
        <v>77837.026562968924</v>
      </c>
      <c r="O104" s="1130">
        <f t="shared" si="92"/>
        <v>78615.396828598619</v>
      </c>
      <c r="P104" s="1130">
        <f t="shared" si="93"/>
        <v>79401.550796884607</v>
      </c>
      <c r="Q104" s="1132">
        <f t="shared" si="94"/>
        <v>80195.566304853448</v>
      </c>
    </row>
    <row r="105" spans="3:17" s="4" customFormat="1" ht="15.75" customHeight="1" outlineLevel="1" x14ac:dyDescent="0.25">
      <c r="C105" s="22" t="s">
        <v>881</v>
      </c>
      <c r="D105" s="1136" t="s">
        <v>525</v>
      </c>
      <c r="E105" s="1130">
        <f>E104*0.1</f>
        <v>6000</v>
      </c>
      <c r="F105" s="1130">
        <f t="shared" si="95"/>
        <v>6600.0000000000009</v>
      </c>
      <c r="G105" s="1130">
        <f t="shared" si="95"/>
        <v>7260.0000000000018</v>
      </c>
      <c r="H105" s="1131">
        <f t="shared" si="85"/>
        <v>7332.6000000000022</v>
      </c>
      <c r="I105" s="1130">
        <f t="shared" si="86"/>
        <v>7405.9260000000022</v>
      </c>
      <c r="J105" s="1130">
        <f t="shared" si="87"/>
        <v>7479.9852600000022</v>
      </c>
      <c r="K105" s="1130">
        <f t="shared" si="88"/>
        <v>7554.7851126000023</v>
      </c>
      <c r="L105" s="1130">
        <f t="shared" si="89"/>
        <v>7630.3329637260022</v>
      </c>
      <c r="M105" s="1130">
        <f t="shared" si="90"/>
        <v>7706.6362933632627</v>
      </c>
      <c r="N105" s="1130">
        <f t="shared" si="91"/>
        <v>7783.7026562968949</v>
      </c>
      <c r="O105" s="1130">
        <f t="shared" si="92"/>
        <v>7861.5396828598641</v>
      </c>
      <c r="P105" s="1130">
        <f t="shared" si="93"/>
        <v>7940.155079688463</v>
      </c>
      <c r="Q105" s="1132">
        <f t="shared" si="94"/>
        <v>8019.5566304853473</v>
      </c>
    </row>
    <row r="106" spans="3:17" s="4" customFormat="1" ht="15.75" customHeight="1" outlineLevel="1" x14ac:dyDescent="0.25">
      <c r="C106" s="22" t="s">
        <v>882</v>
      </c>
      <c r="D106" s="1136" t="s">
        <v>525</v>
      </c>
      <c r="E106" s="1130">
        <f>E105*2</f>
        <v>12000</v>
      </c>
      <c r="F106" s="1130">
        <f t="shared" si="95"/>
        <v>13200.000000000002</v>
      </c>
      <c r="G106" s="1130">
        <f t="shared" si="95"/>
        <v>14520.000000000004</v>
      </c>
      <c r="H106" s="1131">
        <f t="shared" si="85"/>
        <v>14665.200000000004</v>
      </c>
      <c r="I106" s="1130">
        <f t="shared" si="86"/>
        <v>14811.852000000004</v>
      </c>
      <c r="J106" s="1130">
        <f t="shared" si="87"/>
        <v>14959.970520000004</v>
      </c>
      <c r="K106" s="1130">
        <f t="shared" si="88"/>
        <v>15109.570225200005</v>
      </c>
      <c r="L106" s="1130">
        <f t="shared" si="89"/>
        <v>15260.665927452004</v>
      </c>
      <c r="M106" s="1130">
        <f t="shared" si="90"/>
        <v>15413.272586726525</v>
      </c>
      <c r="N106" s="1130">
        <f t="shared" si="91"/>
        <v>15567.40531259379</v>
      </c>
      <c r="O106" s="1130">
        <f t="shared" si="92"/>
        <v>15723.079365719728</v>
      </c>
      <c r="P106" s="1130">
        <f t="shared" si="93"/>
        <v>15880.310159376926</v>
      </c>
      <c r="Q106" s="1132">
        <f t="shared" si="94"/>
        <v>16039.113260970695</v>
      </c>
    </row>
    <row r="107" spans="3:17" s="4" customFormat="1" ht="15.75" customHeight="1" outlineLevel="1" x14ac:dyDescent="0.25">
      <c r="C107" s="22" t="s">
        <v>885</v>
      </c>
      <c r="D107" s="1136" t="s">
        <v>525</v>
      </c>
      <c r="E107" s="1130">
        <f>E106*1.59445</f>
        <v>19133.399999999998</v>
      </c>
      <c r="F107" s="1130">
        <f t="shared" si="95"/>
        <v>21046.739999999998</v>
      </c>
      <c r="G107" s="1130">
        <f t="shared" si="95"/>
        <v>23151.414000000001</v>
      </c>
      <c r="H107" s="1131">
        <f t="shared" si="85"/>
        <v>23382.92814</v>
      </c>
      <c r="I107" s="1130">
        <f t="shared" si="86"/>
        <v>23616.757421400001</v>
      </c>
      <c r="J107" s="1130">
        <f t="shared" si="87"/>
        <v>23852.924995614001</v>
      </c>
      <c r="K107" s="1130">
        <f t="shared" si="88"/>
        <v>24091.454245570141</v>
      </c>
      <c r="L107" s="1130">
        <f t="shared" si="89"/>
        <v>24332.368788025844</v>
      </c>
      <c r="M107" s="1130">
        <f t="shared" si="90"/>
        <v>24575.692475906104</v>
      </c>
      <c r="N107" s="1130">
        <f t="shared" si="91"/>
        <v>24821.449400665166</v>
      </c>
      <c r="O107" s="1130">
        <f t="shared" si="92"/>
        <v>25069.663894671819</v>
      </c>
      <c r="P107" s="1130">
        <f t="shared" si="93"/>
        <v>25320.360533618539</v>
      </c>
      <c r="Q107" s="1132">
        <f t="shared" si="94"/>
        <v>25573.564138954724</v>
      </c>
    </row>
    <row r="108" spans="3:17" s="4" customFormat="1" ht="15.75" customHeight="1" outlineLevel="1" x14ac:dyDescent="0.25">
      <c r="C108" s="22" t="s">
        <v>885</v>
      </c>
      <c r="D108" s="1136" t="s">
        <v>525</v>
      </c>
      <c r="E108" s="1130">
        <f>E107*1.2/10</f>
        <v>2296.0079999999998</v>
      </c>
      <c r="F108" s="1130">
        <f>+E108*0.678</f>
        <v>1556.6934240000001</v>
      </c>
      <c r="G108" s="1130">
        <f>+F108*1.49</f>
        <v>2319.4732017599999</v>
      </c>
      <c r="H108" s="1131">
        <f t="shared" si="85"/>
        <v>2342.6679337776</v>
      </c>
      <c r="I108" s="1130">
        <f t="shared" si="86"/>
        <v>2366.094613115376</v>
      </c>
      <c r="J108" s="1130">
        <f t="shared" si="87"/>
        <v>2389.7555592465296</v>
      </c>
      <c r="K108" s="1130">
        <f t="shared" si="88"/>
        <v>2413.653114838995</v>
      </c>
      <c r="L108" s="1130">
        <f t="shared" si="89"/>
        <v>2437.789645987385</v>
      </c>
      <c r="M108" s="1130">
        <f t="shared" si="90"/>
        <v>2462.1675424472587</v>
      </c>
      <c r="N108" s="1130">
        <f t="shared" si="91"/>
        <v>2486.7892178717311</v>
      </c>
      <c r="O108" s="1130">
        <f t="shared" si="92"/>
        <v>2511.6571100504484</v>
      </c>
      <c r="P108" s="1130">
        <f t="shared" si="93"/>
        <v>2536.7736811509531</v>
      </c>
      <c r="Q108" s="1132">
        <f t="shared" si="94"/>
        <v>2562.1414179624626</v>
      </c>
    </row>
    <row r="109" spans="3:17" s="4" customFormat="1" ht="15.75" customHeight="1" outlineLevel="1" x14ac:dyDescent="0.25">
      <c r="C109" s="29" t="s">
        <v>885</v>
      </c>
      <c r="D109" s="1137" t="s">
        <v>525</v>
      </c>
      <c r="E109" s="1133">
        <f>E108*2/100</f>
        <v>45.920159999999996</v>
      </c>
      <c r="F109" s="1133">
        <f>+E109*1.01</f>
        <v>46.379361599999996</v>
      </c>
      <c r="G109" s="1133">
        <f>+F109*1.01</f>
        <v>46.843155216</v>
      </c>
      <c r="H109" s="1134">
        <f t="shared" si="85"/>
        <v>47.311586768159998</v>
      </c>
      <c r="I109" s="1133">
        <f t="shared" si="86"/>
        <v>47.784702635841597</v>
      </c>
      <c r="J109" s="1133">
        <f t="shared" si="87"/>
        <v>48.262549662200016</v>
      </c>
      <c r="K109" s="1133">
        <f t="shared" si="88"/>
        <v>48.745175158822015</v>
      </c>
      <c r="L109" s="1133">
        <f t="shared" si="89"/>
        <v>49.232626910410232</v>
      </c>
      <c r="M109" s="1133">
        <f t="shared" si="90"/>
        <v>49.724953179514337</v>
      </c>
      <c r="N109" s="1133">
        <f t="shared" si="91"/>
        <v>50.222202711309478</v>
      </c>
      <c r="O109" s="1133">
        <f t="shared" si="92"/>
        <v>50.72442473842257</v>
      </c>
      <c r="P109" s="1133">
        <f t="shared" si="93"/>
        <v>51.231668985806799</v>
      </c>
      <c r="Q109" s="1135">
        <f t="shared" si="94"/>
        <v>51.743985675664867</v>
      </c>
    </row>
    <row r="110" spans="3:17" s="526" customFormat="1" ht="15.75" customHeight="1" outlineLevel="1" x14ac:dyDescent="0.25"/>
    <row r="111" spans="3:17" s="526" customFormat="1" ht="15.75" customHeight="1" outlineLevel="1" x14ac:dyDescent="0.25">
      <c r="C111" s="517" t="s">
        <v>887</v>
      </c>
      <c r="D111" s="1127"/>
      <c r="E111" s="1127"/>
      <c r="F111" s="1127"/>
      <c r="G111" s="1127"/>
      <c r="H111" s="1128"/>
      <c r="I111" s="1127"/>
      <c r="J111" s="1127"/>
      <c r="K111" s="1127"/>
      <c r="L111" s="1127"/>
      <c r="M111" s="1127"/>
      <c r="N111" s="1127"/>
      <c r="O111" s="1127"/>
      <c r="P111" s="1127"/>
      <c r="Q111" s="1129"/>
    </row>
    <row r="112" spans="3:17" s="526" customFormat="1" ht="15.75" customHeight="1" outlineLevel="1" thickBot="1" x14ac:dyDescent="0.3">
      <c r="C112" s="366" t="s">
        <v>883</v>
      </c>
      <c r="D112" s="1142" t="s">
        <v>884</v>
      </c>
      <c r="E112" s="59" t="str">
        <f>E99</f>
        <v>2013</v>
      </c>
      <c r="F112" s="59" t="str">
        <f t="shared" ref="F112:Q112" si="96">F99</f>
        <v>2014</v>
      </c>
      <c r="G112" s="59" t="str">
        <f t="shared" si="96"/>
        <v>2015</v>
      </c>
      <c r="H112" s="58">
        <f t="shared" si="96"/>
        <v>2016</v>
      </c>
      <c r="I112" s="59">
        <f t="shared" si="96"/>
        <v>2017</v>
      </c>
      <c r="J112" s="59">
        <f t="shared" si="96"/>
        <v>2018</v>
      </c>
      <c r="K112" s="59">
        <f t="shared" si="96"/>
        <v>2019</v>
      </c>
      <c r="L112" s="59">
        <f t="shared" si="96"/>
        <v>2020</v>
      </c>
      <c r="M112" s="59">
        <f t="shared" si="96"/>
        <v>2021</v>
      </c>
      <c r="N112" s="59">
        <f t="shared" si="96"/>
        <v>2022</v>
      </c>
      <c r="O112" s="59">
        <f t="shared" si="96"/>
        <v>2023</v>
      </c>
      <c r="P112" s="59">
        <f t="shared" si="96"/>
        <v>2024</v>
      </c>
      <c r="Q112" s="60">
        <f t="shared" si="96"/>
        <v>2025</v>
      </c>
    </row>
    <row r="113" spans="2:17" s="526" customFormat="1" ht="15.75" customHeight="1" outlineLevel="1" x14ac:dyDescent="0.25">
      <c r="C113" s="22" t="s">
        <v>876</v>
      </c>
      <c r="D113" s="354" t="s">
        <v>525</v>
      </c>
      <c r="E113" s="862">
        <f>E87*E100/1000000</f>
        <v>0.1</v>
      </c>
      <c r="F113" s="862">
        <f t="shared" ref="F113:Q113" si="97">F87*F100/1000000</f>
        <v>0.18812499999999999</v>
      </c>
      <c r="G113" s="862">
        <f t="shared" si="97"/>
        <v>0.28749999999999998</v>
      </c>
      <c r="H113" s="1138">
        <f t="shared" si="97"/>
        <v>0.39812500000000001</v>
      </c>
      <c r="I113" s="862">
        <f t="shared" si="97"/>
        <v>0.52</v>
      </c>
      <c r="J113" s="862">
        <f t="shared" si="97"/>
        <v>0.65312499999999996</v>
      </c>
      <c r="K113" s="862">
        <f t="shared" si="97"/>
        <v>0.79749999999999999</v>
      </c>
      <c r="L113" s="862">
        <f t="shared" si="97"/>
        <v>0.953125</v>
      </c>
      <c r="M113" s="862">
        <f t="shared" si="97"/>
        <v>1.1200000000000001</v>
      </c>
      <c r="N113" s="862">
        <f t="shared" si="97"/>
        <v>1.298125</v>
      </c>
      <c r="O113" s="862">
        <f t="shared" si="97"/>
        <v>1.4875</v>
      </c>
      <c r="P113" s="862">
        <f t="shared" si="97"/>
        <v>1.6881250000000001</v>
      </c>
      <c r="Q113" s="1116">
        <f t="shared" si="97"/>
        <v>1.9</v>
      </c>
    </row>
    <row r="114" spans="2:17" s="526" customFormat="1" ht="15.75" customHeight="1" outlineLevel="1" x14ac:dyDescent="0.25">
      <c r="C114" s="22" t="s">
        <v>877</v>
      </c>
      <c r="D114" s="354" t="s">
        <v>525</v>
      </c>
      <c r="E114" s="862">
        <f t="shared" ref="E114:Q114" si="98">E88*E101/1000000</f>
        <v>225</v>
      </c>
      <c r="F114" s="862">
        <f t="shared" si="98"/>
        <v>229.52250000000001</v>
      </c>
      <c r="G114" s="862">
        <f t="shared" si="98"/>
        <v>234.13590224999999</v>
      </c>
      <c r="H114" s="1138">
        <f t="shared" si="98"/>
        <v>238.84203388522499</v>
      </c>
      <c r="I114" s="862">
        <f t="shared" si="98"/>
        <v>243.64275876631805</v>
      </c>
      <c r="J114" s="862">
        <f t="shared" si="98"/>
        <v>248.53997821752108</v>
      </c>
      <c r="K114" s="862">
        <f t="shared" si="98"/>
        <v>253.53563177969323</v>
      </c>
      <c r="L114" s="862">
        <f t="shared" si="98"/>
        <v>258.63169797846513</v>
      </c>
      <c r="M114" s="862">
        <f t="shared" si="98"/>
        <v>263.83019510783225</v>
      </c>
      <c r="N114" s="862">
        <f t="shared" si="98"/>
        <v>269.13318202949966</v>
      </c>
      <c r="O114" s="862">
        <f t="shared" si="98"/>
        <v>274.54275898829263</v>
      </c>
      <c r="P114" s="862">
        <f t="shared" si="98"/>
        <v>280.06106844395731</v>
      </c>
      <c r="Q114" s="1116">
        <f t="shared" si="98"/>
        <v>285.69029591968092</v>
      </c>
    </row>
    <row r="115" spans="2:17" s="526" customFormat="1" ht="15.75" customHeight="1" outlineLevel="1" x14ac:dyDescent="0.25">
      <c r="C115" s="22" t="s">
        <v>878</v>
      </c>
      <c r="D115" s="354" t="s">
        <v>525</v>
      </c>
      <c r="E115" s="862">
        <f t="shared" ref="E115:Q115" si="99">E89*E102/1000000</f>
        <v>900</v>
      </c>
      <c r="F115" s="862">
        <f t="shared" si="99"/>
        <v>918.09</v>
      </c>
      <c r="G115" s="862">
        <f t="shared" si="99"/>
        <v>936.54360899999995</v>
      </c>
      <c r="H115" s="1138">
        <f t="shared" si="99"/>
        <v>955.36813554089997</v>
      </c>
      <c r="I115" s="862">
        <f t="shared" si="99"/>
        <v>974.57103506527221</v>
      </c>
      <c r="J115" s="862">
        <f t="shared" si="99"/>
        <v>994.15991287008433</v>
      </c>
      <c r="K115" s="862">
        <f t="shared" si="99"/>
        <v>1014.1425271187729</v>
      </c>
      <c r="L115" s="862">
        <f t="shared" si="99"/>
        <v>1034.5267919138605</v>
      </c>
      <c r="M115" s="862">
        <f t="shared" si="99"/>
        <v>1055.320780431329</v>
      </c>
      <c r="N115" s="862">
        <f t="shared" si="99"/>
        <v>1076.5327281179987</v>
      </c>
      <c r="O115" s="862">
        <f t="shared" si="99"/>
        <v>1098.1710359531705</v>
      </c>
      <c r="P115" s="862">
        <f t="shared" si="99"/>
        <v>1120.2442737758292</v>
      </c>
      <c r="Q115" s="1116">
        <f t="shared" si="99"/>
        <v>1142.7611836787237</v>
      </c>
    </row>
    <row r="116" spans="2:17" s="526" customFormat="1" ht="15.75" customHeight="1" outlineLevel="1" x14ac:dyDescent="0.25">
      <c r="C116" s="22" t="s">
        <v>879</v>
      </c>
      <c r="D116" s="354" t="s">
        <v>525</v>
      </c>
      <c r="E116" s="862">
        <f t="shared" ref="E116:Q116" si="100">E90*E103/1000000</f>
        <v>3600</v>
      </c>
      <c r="F116" s="862">
        <f t="shared" si="100"/>
        <v>3672.36</v>
      </c>
      <c r="G116" s="862">
        <f t="shared" si="100"/>
        <v>3746.1744359999998</v>
      </c>
      <c r="H116" s="1138">
        <f t="shared" si="100"/>
        <v>3821.4725421635999</v>
      </c>
      <c r="I116" s="862">
        <f t="shared" si="100"/>
        <v>3898.2841402610889</v>
      </c>
      <c r="J116" s="862">
        <f t="shared" si="100"/>
        <v>3976.6396514803373</v>
      </c>
      <c r="K116" s="862">
        <f t="shared" si="100"/>
        <v>4056.5701084750917</v>
      </c>
      <c r="L116" s="862">
        <f t="shared" si="100"/>
        <v>4138.107167655442</v>
      </c>
      <c r="M116" s="862">
        <f t="shared" si="100"/>
        <v>4221.2831217253161</v>
      </c>
      <c r="N116" s="862">
        <f t="shared" si="100"/>
        <v>4306.1309124719946</v>
      </c>
      <c r="O116" s="862">
        <f t="shared" si="100"/>
        <v>4392.6841438126821</v>
      </c>
      <c r="P116" s="862">
        <f t="shared" si="100"/>
        <v>4480.977095103317</v>
      </c>
      <c r="Q116" s="1116">
        <f t="shared" si="100"/>
        <v>4571.0447347148947</v>
      </c>
    </row>
    <row r="117" spans="2:17" s="526" customFormat="1" ht="15.75" customHeight="1" outlineLevel="1" x14ac:dyDescent="0.25">
      <c r="C117" s="22" t="s">
        <v>880</v>
      </c>
      <c r="D117" s="354" t="s">
        <v>525</v>
      </c>
      <c r="E117" s="862">
        <f t="shared" ref="E117:Q117" si="101">E91*E104/1000000</f>
        <v>1440</v>
      </c>
      <c r="F117" s="862">
        <f t="shared" si="101"/>
        <v>1599.84</v>
      </c>
      <c r="G117" s="862">
        <f t="shared" si="101"/>
        <v>1777.4222400000001</v>
      </c>
      <c r="H117" s="1138">
        <f t="shared" si="101"/>
        <v>1813.1484270240001</v>
      </c>
      <c r="I117" s="862">
        <f t="shared" si="101"/>
        <v>1849.5927104071825</v>
      </c>
      <c r="J117" s="862">
        <f t="shared" si="101"/>
        <v>1886.7695238863671</v>
      </c>
      <c r="K117" s="862">
        <f t="shared" si="101"/>
        <v>1924.6935913164828</v>
      </c>
      <c r="L117" s="862">
        <f t="shared" si="101"/>
        <v>1963.3799325019443</v>
      </c>
      <c r="M117" s="862">
        <f t="shared" si="101"/>
        <v>2002.8438691452332</v>
      </c>
      <c r="N117" s="862">
        <f t="shared" si="101"/>
        <v>2043.1010309150524</v>
      </c>
      <c r="O117" s="862">
        <f t="shared" si="101"/>
        <v>2084.1673616364451</v>
      </c>
      <c r="P117" s="862">
        <f t="shared" si="101"/>
        <v>2126.0591256053381</v>
      </c>
      <c r="Q117" s="1116">
        <f t="shared" si="101"/>
        <v>2168.7929140300048</v>
      </c>
    </row>
    <row r="118" spans="2:17" s="526" customFormat="1" ht="15.75" customHeight="1" outlineLevel="1" x14ac:dyDescent="0.25">
      <c r="C118" s="22" t="s">
        <v>881</v>
      </c>
      <c r="D118" s="354" t="s">
        <v>525</v>
      </c>
      <c r="E118" s="862">
        <f t="shared" ref="E118:Q118" si="102">E92*E105/1000000</f>
        <v>288</v>
      </c>
      <c r="F118" s="862">
        <f t="shared" si="102"/>
        <v>319.96800000000007</v>
      </c>
      <c r="G118" s="862">
        <f t="shared" si="102"/>
        <v>355.4844480000001</v>
      </c>
      <c r="H118" s="1138">
        <f t="shared" si="102"/>
        <v>362.62968540480011</v>
      </c>
      <c r="I118" s="862">
        <f t="shared" si="102"/>
        <v>369.91854208143661</v>
      </c>
      <c r="J118" s="862">
        <f t="shared" si="102"/>
        <v>377.35390477727356</v>
      </c>
      <c r="K118" s="862">
        <f t="shared" si="102"/>
        <v>384.93871826329672</v>
      </c>
      <c r="L118" s="862">
        <f t="shared" si="102"/>
        <v>392.675986500389</v>
      </c>
      <c r="M118" s="862">
        <f t="shared" si="102"/>
        <v>400.56877382904679</v>
      </c>
      <c r="N118" s="862">
        <f t="shared" si="102"/>
        <v>408.62020618301062</v>
      </c>
      <c r="O118" s="862">
        <f t="shared" si="102"/>
        <v>416.83347232728909</v>
      </c>
      <c r="P118" s="862">
        <f t="shared" si="102"/>
        <v>425.2118251210677</v>
      </c>
      <c r="Q118" s="1116">
        <f t="shared" si="102"/>
        <v>433.75858280600113</v>
      </c>
    </row>
    <row r="119" spans="2:17" s="526" customFormat="1" ht="15.75" customHeight="1" outlineLevel="1" x14ac:dyDescent="0.25">
      <c r="C119" s="22" t="s">
        <v>882</v>
      </c>
      <c r="D119" s="354" t="s">
        <v>525</v>
      </c>
      <c r="E119" s="862">
        <f t="shared" ref="E119:Q119" si="103">E93*E106/1000000</f>
        <v>1152</v>
      </c>
      <c r="F119" s="862">
        <f t="shared" si="103"/>
        <v>1279.8720000000003</v>
      </c>
      <c r="G119" s="862">
        <f t="shared" si="103"/>
        <v>1421.9377920000004</v>
      </c>
      <c r="H119" s="1138">
        <f t="shared" si="103"/>
        <v>1450.5187416192005</v>
      </c>
      <c r="I119" s="862">
        <f t="shared" si="103"/>
        <v>1479.6741683257465</v>
      </c>
      <c r="J119" s="862">
        <f t="shared" si="103"/>
        <v>1509.4156191090942</v>
      </c>
      <c r="K119" s="862">
        <f t="shared" si="103"/>
        <v>1539.7548730531869</v>
      </c>
      <c r="L119" s="862">
        <f t="shared" si="103"/>
        <v>1570.703946001556</v>
      </c>
      <c r="M119" s="862">
        <f t="shared" si="103"/>
        <v>1602.2750953161872</v>
      </c>
      <c r="N119" s="862">
        <f t="shared" si="103"/>
        <v>1634.4808247320425</v>
      </c>
      <c r="O119" s="862">
        <f t="shared" si="103"/>
        <v>1667.3338893091563</v>
      </c>
      <c r="P119" s="862">
        <f t="shared" si="103"/>
        <v>1700.8473004842708</v>
      </c>
      <c r="Q119" s="1116">
        <f t="shared" si="103"/>
        <v>1735.0343312240045</v>
      </c>
    </row>
    <row r="120" spans="2:17" s="526" customFormat="1" ht="15.75" customHeight="1" outlineLevel="1" x14ac:dyDescent="0.25">
      <c r="C120" s="22" t="s">
        <v>885</v>
      </c>
      <c r="D120" s="354" t="s">
        <v>525</v>
      </c>
      <c r="E120" s="862">
        <f t="shared" ref="E120:Q120" si="104">E94*E107/1000000</f>
        <v>3673.6127999999994</v>
      </c>
      <c r="F120" s="862">
        <f t="shared" si="104"/>
        <v>4081.3838207999997</v>
      </c>
      <c r="G120" s="862">
        <f t="shared" si="104"/>
        <v>4534.4174249088001</v>
      </c>
      <c r="H120" s="1138">
        <f t="shared" si="104"/>
        <v>4625.5592151494675</v>
      </c>
      <c r="I120" s="862">
        <f t="shared" si="104"/>
        <v>4718.5329553739721</v>
      </c>
      <c r="J120" s="862">
        <f t="shared" si="104"/>
        <v>4813.3754677769894</v>
      </c>
      <c r="K120" s="862">
        <f t="shared" si="104"/>
        <v>4910.1243146793058</v>
      </c>
      <c r="L120" s="862">
        <f t="shared" si="104"/>
        <v>5008.817813404361</v>
      </c>
      <c r="M120" s="862">
        <f t="shared" si="104"/>
        <v>5109.4950514537886</v>
      </c>
      <c r="N120" s="862">
        <f t="shared" si="104"/>
        <v>5212.1959019880096</v>
      </c>
      <c r="O120" s="862">
        <f t="shared" si="104"/>
        <v>5316.9610396179687</v>
      </c>
      <c r="P120" s="862">
        <f t="shared" si="104"/>
        <v>5423.8319565142911</v>
      </c>
      <c r="Q120" s="1116">
        <f t="shared" si="104"/>
        <v>5532.850978840228</v>
      </c>
    </row>
    <row r="121" spans="2:17" s="526" customFormat="1" ht="15.75" customHeight="1" outlineLevel="1" x14ac:dyDescent="0.25">
      <c r="C121" s="22" t="s">
        <v>885</v>
      </c>
      <c r="D121" s="354" t="s">
        <v>525</v>
      </c>
      <c r="E121" s="862">
        <f t="shared" ref="E121:Q121" si="105">E95*E108/1000000</f>
        <v>881.66707199999985</v>
      </c>
      <c r="F121" s="862">
        <f t="shared" si="105"/>
        <v>603.74797756416001</v>
      </c>
      <c r="G121" s="862">
        <f t="shared" si="105"/>
        <v>908.5803314363045</v>
      </c>
      <c r="H121" s="1138">
        <f t="shared" si="105"/>
        <v>926.84279609817418</v>
      </c>
      <c r="I121" s="862">
        <f t="shared" si="105"/>
        <v>945.47233629974755</v>
      </c>
      <c r="J121" s="862">
        <f t="shared" si="105"/>
        <v>964.4763302593725</v>
      </c>
      <c r="K121" s="862">
        <f t="shared" si="105"/>
        <v>983.8623044975858</v>
      </c>
      <c r="L121" s="862">
        <f t="shared" si="105"/>
        <v>1003.6379368179873</v>
      </c>
      <c r="M121" s="862">
        <f t="shared" si="105"/>
        <v>1023.8110593480288</v>
      </c>
      <c r="N121" s="862">
        <f t="shared" si="105"/>
        <v>1044.389661640924</v>
      </c>
      <c r="O121" s="862">
        <f t="shared" si="105"/>
        <v>1065.3818938399065</v>
      </c>
      <c r="P121" s="862">
        <f t="shared" si="105"/>
        <v>1086.7960699060889</v>
      </c>
      <c r="Q121" s="1116">
        <f t="shared" si="105"/>
        <v>1108.6406709112011</v>
      </c>
    </row>
    <row r="122" spans="2:17" s="526" customFormat="1" ht="15.75" customHeight="1" outlineLevel="1" x14ac:dyDescent="0.25">
      <c r="C122" s="29" t="s">
        <v>885</v>
      </c>
      <c r="D122" s="357" t="s">
        <v>525</v>
      </c>
      <c r="E122" s="1121">
        <f t="shared" ref="E122:Q122" si="106">E96*E109/1000000</f>
        <v>35.266682879999998</v>
      </c>
      <c r="F122" s="1121">
        <f t="shared" si="106"/>
        <v>35.975543205887995</v>
      </c>
      <c r="G122" s="1121">
        <f t="shared" si="106"/>
        <v>36.698651624326345</v>
      </c>
      <c r="H122" s="1139">
        <f t="shared" si="106"/>
        <v>37.436294521975306</v>
      </c>
      <c r="I122" s="1121">
        <f t="shared" si="106"/>
        <v>38.188764041867017</v>
      </c>
      <c r="J122" s="1121">
        <f t="shared" si="106"/>
        <v>38.95635819910855</v>
      </c>
      <c r="K122" s="1121">
        <f t="shared" si="106"/>
        <v>39.739380998910626</v>
      </c>
      <c r="L122" s="1121">
        <f t="shared" si="106"/>
        <v>40.538142556988731</v>
      </c>
      <c r="M122" s="1121">
        <f t="shared" si="106"/>
        <v>41.3529592223842</v>
      </c>
      <c r="N122" s="1121">
        <f t="shared" si="106"/>
        <v>42.184153702754116</v>
      </c>
      <c r="O122" s="1121">
        <f t="shared" si="106"/>
        <v>43.03205519217947</v>
      </c>
      <c r="P122" s="1121">
        <f t="shared" si="106"/>
        <v>43.896999501542282</v>
      </c>
      <c r="Q122" s="865">
        <f t="shared" si="106"/>
        <v>44.779329191523289</v>
      </c>
    </row>
    <row r="123" spans="2:17" s="1042" customFormat="1" ht="15.75" customHeight="1" outlineLevel="1" x14ac:dyDescent="0.25">
      <c r="C123" s="517" t="s">
        <v>888</v>
      </c>
      <c r="D123" s="1063" t="s">
        <v>525</v>
      </c>
      <c r="E123" s="1124">
        <f>SUM(E113:E122)</f>
        <v>12195.646554879999</v>
      </c>
      <c r="F123" s="1124">
        <f t="shared" ref="F123:Q123" si="107">SUM(F113:F122)</f>
        <v>12740.947966570049</v>
      </c>
      <c r="G123" s="1124">
        <f t="shared" si="107"/>
        <v>13951.68233521943</v>
      </c>
      <c r="H123" s="1140">
        <f t="shared" si="107"/>
        <v>14232.215996407342</v>
      </c>
      <c r="I123" s="1124">
        <f t="shared" si="107"/>
        <v>14518.397410622631</v>
      </c>
      <c r="J123" s="1124">
        <f t="shared" si="107"/>
        <v>14810.339871576147</v>
      </c>
      <c r="K123" s="1124">
        <f t="shared" si="107"/>
        <v>15108.158950182325</v>
      </c>
      <c r="L123" s="1124">
        <f t="shared" si="107"/>
        <v>15411.972540330995</v>
      </c>
      <c r="M123" s="1124">
        <f t="shared" si="107"/>
        <v>15721.900905579147</v>
      </c>
      <c r="N123" s="1124">
        <f t="shared" si="107"/>
        <v>16038.066726781284</v>
      </c>
      <c r="O123" s="1124">
        <f t="shared" si="107"/>
        <v>16360.595150677091</v>
      </c>
      <c r="P123" s="1124">
        <f t="shared" si="107"/>
        <v>16689.613839455706</v>
      </c>
      <c r="Q123" s="1125">
        <f t="shared" si="107"/>
        <v>17025.253021316261</v>
      </c>
    </row>
    <row r="124" spans="2:17" s="1042" customFormat="1" ht="15.75" customHeight="1" outlineLevel="1" x14ac:dyDescent="0.25"/>
    <row r="125" spans="2:17" s="1042" customFormat="1" ht="15.75" customHeight="1" outlineLevel="1" x14ac:dyDescent="0.25">
      <c r="B125" s="1141">
        <v>3</v>
      </c>
      <c r="C125" s="517" t="s">
        <v>153</v>
      </c>
      <c r="D125" s="1127"/>
      <c r="E125" s="1127"/>
      <c r="F125" s="1127"/>
      <c r="G125" s="1127"/>
      <c r="H125" s="1128"/>
      <c r="I125" s="1127"/>
      <c r="J125" s="1127"/>
      <c r="K125" s="1127"/>
      <c r="L125" s="1127"/>
      <c r="M125" s="1127"/>
      <c r="N125" s="1127"/>
      <c r="O125" s="1127"/>
      <c r="P125" s="1127"/>
      <c r="Q125" s="1129"/>
    </row>
    <row r="126" spans="2:17" s="1042" customFormat="1" ht="15.75" customHeight="1" outlineLevel="1" thickBot="1" x14ac:dyDescent="0.3">
      <c r="C126" s="366" t="s">
        <v>883</v>
      </c>
      <c r="D126" s="1142" t="s">
        <v>884</v>
      </c>
      <c r="E126" s="59" t="str">
        <f>+E112</f>
        <v>2013</v>
      </c>
      <c r="F126" s="59" t="str">
        <f t="shared" ref="F126:Q126" si="108">+F112</f>
        <v>2014</v>
      </c>
      <c r="G126" s="59" t="str">
        <f t="shared" si="108"/>
        <v>2015</v>
      </c>
      <c r="H126" s="58">
        <f t="shared" si="108"/>
        <v>2016</v>
      </c>
      <c r="I126" s="59">
        <f t="shared" si="108"/>
        <v>2017</v>
      </c>
      <c r="J126" s="59">
        <f t="shared" si="108"/>
        <v>2018</v>
      </c>
      <c r="K126" s="59">
        <f t="shared" si="108"/>
        <v>2019</v>
      </c>
      <c r="L126" s="59">
        <f t="shared" si="108"/>
        <v>2020</v>
      </c>
      <c r="M126" s="59">
        <f t="shared" si="108"/>
        <v>2021</v>
      </c>
      <c r="N126" s="59">
        <f t="shared" si="108"/>
        <v>2022</v>
      </c>
      <c r="O126" s="59">
        <f t="shared" si="108"/>
        <v>2023</v>
      </c>
      <c r="P126" s="59">
        <f t="shared" si="108"/>
        <v>2024</v>
      </c>
      <c r="Q126" s="60">
        <f t="shared" si="108"/>
        <v>2025</v>
      </c>
    </row>
    <row r="127" spans="2:17" s="1042" customFormat="1" ht="15.75" customHeight="1" outlineLevel="1" x14ac:dyDescent="0.25">
      <c r="C127" s="29" t="s">
        <v>893</v>
      </c>
      <c r="D127" s="357" t="s">
        <v>525</v>
      </c>
      <c r="E127" s="1121">
        <f>+I11</f>
        <v>0</v>
      </c>
      <c r="F127" s="1121">
        <f>+J11</f>
        <v>0</v>
      </c>
      <c r="G127" s="1121">
        <f>+K11</f>
        <v>0</v>
      </c>
      <c r="H127" s="1134"/>
      <c r="I127" s="1133"/>
      <c r="J127" s="1133"/>
      <c r="K127" s="1133"/>
      <c r="L127" s="1133"/>
      <c r="M127" s="1133"/>
      <c r="N127" s="1133"/>
      <c r="O127" s="1133"/>
      <c r="P127" s="1133"/>
      <c r="Q127" s="1135"/>
    </row>
    <row r="128" spans="2:17" s="1042" customFormat="1" ht="13.15" customHeight="1" thickBot="1" x14ac:dyDescent="0.3"/>
    <row r="129" spans="2:21" s="319" customFormat="1" ht="19.5" thickBot="1" x14ac:dyDescent="0.35">
      <c r="B129" s="1280" t="s">
        <v>282</v>
      </c>
      <c r="C129" s="1281" t="s">
        <v>894</v>
      </c>
      <c r="D129" s="1282"/>
      <c r="E129" s="1282"/>
      <c r="F129" s="1282"/>
      <c r="G129" s="1283"/>
      <c r="H129" s="1284"/>
      <c r="I129" s="1285"/>
      <c r="J129" s="1285"/>
      <c r="K129" s="1285"/>
      <c r="L129" s="1286"/>
      <c r="M129" s="1286"/>
      <c r="N129" s="1286"/>
      <c r="O129" s="1286"/>
      <c r="P129" s="1286"/>
      <c r="Q129" s="1286"/>
      <c r="R129" s="1286"/>
      <c r="S129" s="1286"/>
      <c r="T129" s="1286"/>
      <c r="U129" s="1287"/>
    </row>
    <row r="130" spans="2:21" s="533" customFormat="1" ht="6.75" customHeight="1" x14ac:dyDescent="0.3"/>
    <row r="131" spans="2:21" ht="18" thickBot="1" x14ac:dyDescent="0.35">
      <c r="C131" s="1151" t="s">
        <v>1172</v>
      </c>
      <c r="D131" s="1152" t="s">
        <v>270</v>
      </c>
      <c r="E131" s="1153">
        <f t="shared" ref="E131:N131" si="109">+H71</f>
        <v>2016</v>
      </c>
      <c r="F131" s="1153">
        <f t="shared" si="109"/>
        <v>2017</v>
      </c>
      <c r="G131" s="1153">
        <f t="shared" si="109"/>
        <v>2018</v>
      </c>
      <c r="H131" s="1153">
        <f t="shared" si="109"/>
        <v>2019</v>
      </c>
      <c r="I131" s="1153">
        <f t="shared" si="109"/>
        <v>2020</v>
      </c>
      <c r="J131" s="1153">
        <f t="shared" si="109"/>
        <v>2021</v>
      </c>
      <c r="K131" s="1153">
        <f t="shared" si="109"/>
        <v>2022</v>
      </c>
      <c r="L131" s="1153">
        <f t="shared" si="109"/>
        <v>2023</v>
      </c>
      <c r="M131" s="1153">
        <f t="shared" si="109"/>
        <v>2024</v>
      </c>
      <c r="N131" s="1153">
        <f t="shared" si="109"/>
        <v>2025</v>
      </c>
      <c r="O131" s="1144" t="str">
        <f>CONCATENATE(E131,"-",I131)</f>
        <v>2016-2020</v>
      </c>
      <c r="P131" s="1145" t="str">
        <f>CONCATENATE(J131,"-",N131)</f>
        <v>2021-2025</v>
      </c>
    </row>
    <row r="132" spans="2:21" x14ac:dyDescent="0.25">
      <c r="C132" s="1146" t="s">
        <v>151</v>
      </c>
      <c r="D132" s="1147">
        <v>1</v>
      </c>
      <c r="E132" s="1148">
        <f>+IF($D$132=1,D37,IF($D$132=2,H82,0))</f>
        <v>6734.6503272000009</v>
      </c>
      <c r="F132" s="1148">
        <f t="shared" ref="F132:N132" si="110">+IF($D$132=1,E37,IF($D$132=2,I82,0))</f>
        <v>7350.1973671060823</v>
      </c>
      <c r="G132" s="1148">
        <f t="shared" si="110"/>
        <v>7947.0333933150978</v>
      </c>
      <c r="H132" s="1148">
        <f t="shared" si="110"/>
        <v>8592.3325048522856</v>
      </c>
      <c r="I132" s="1148">
        <f t="shared" si="110"/>
        <v>9290.0299042462921</v>
      </c>
      <c r="J132" s="1148">
        <f t="shared" si="110"/>
        <v>9852.0767134531925</v>
      </c>
      <c r="K132" s="1148">
        <f t="shared" si="110"/>
        <v>10348.621379811233</v>
      </c>
      <c r="L132" s="1148">
        <f t="shared" si="110"/>
        <v>10870.191897353719</v>
      </c>
      <c r="M132" s="1149">
        <f t="shared" si="110"/>
        <v>11418.049568980347</v>
      </c>
      <c r="N132" s="1150">
        <f t="shared" si="110"/>
        <v>11993.519267256956</v>
      </c>
      <c r="O132" s="506">
        <f>(I132/K9)^(1/5)-1</f>
        <v>8.7289508770099111E-2</v>
      </c>
      <c r="P132" s="507">
        <f>(N132/I132)^(1/5)-1</f>
        <v>5.2412275292214039E-2</v>
      </c>
    </row>
    <row r="133" spans="2:21" x14ac:dyDescent="0.25">
      <c r="C133" s="542" t="s">
        <v>152</v>
      </c>
      <c r="D133" s="543">
        <f>+D132</f>
        <v>1</v>
      </c>
      <c r="E133" s="544">
        <f t="shared" ref="E133:N133" si="111">+IF($D$133=1,D38,IF($D$133=2,H123,0))</f>
        <v>11103.656256000002</v>
      </c>
      <c r="F133" s="544">
        <f t="shared" si="111"/>
        <v>12474.957803616004</v>
      </c>
      <c r="G133" s="544">
        <f t="shared" si="111"/>
        <v>13884.628035424616</v>
      </c>
      <c r="H133" s="544">
        <f t="shared" si="111"/>
        <v>15453.5910034276</v>
      </c>
      <c r="I133" s="544">
        <f t="shared" si="111"/>
        <v>17199.846786814924</v>
      </c>
      <c r="J133" s="544">
        <f t="shared" si="111"/>
        <v>19143.429473725013</v>
      </c>
      <c r="K133" s="544">
        <f t="shared" si="111"/>
        <v>20904.624985307717</v>
      </c>
      <c r="L133" s="544">
        <f t="shared" si="111"/>
        <v>22610.442384108828</v>
      </c>
      <c r="M133" s="545">
        <f t="shared" si="111"/>
        <v>24220.305881857381</v>
      </c>
      <c r="N133" s="546">
        <f t="shared" si="111"/>
        <v>25944.791660645631</v>
      </c>
      <c r="O133" s="506">
        <f>(I133/K10)^(1/5)-1</f>
        <v>0.11926861196921967</v>
      </c>
      <c r="P133" s="507">
        <f>(N133/I133)^(1/5)-1</f>
        <v>8.5688210541946752E-2</v>
      </c>
    </row>
    <row r="134" spans="2:21" x14ac:dyDescent="0.25">
      <c r="B134" s="4">
        <v>0</v>
      </c>
      <c r="C134" s="547" t="s">
        <v>1173</v>
      </c>
      <c r="D134" s="548">
        <f>+D133</f>
        <v>1</v>
      </c>
      <c r="E134" s="544">
        <f t="shared" ref="E134:N134" si="112">+IF($D$133=1,D39,IF($D$133=2,H127,0))</f>
        <v>0</v>
      </c>
      <c r="F134" s="549">
        <f t="shared" si="112"/>
        <v>0</v>
      </c>
      <c r="G134" s="549">
        <f t="shared" si="112"/>
        <v>0</v>
      </c>
      <c r="H134" s="549">
        <f t="shared" si="112"/>
        <v>0</v>
      </c>
      <c r="I134" s="549">
        <f t="shared" si="112"/>
        <v>0</v>
      </c>
      <c r="J134" s="549">
        <f t="shared" si="112"/>
        <v>0</v>
      </c>
      <c r="K134" s="549">
        <f t="shared" si="112"/>
        <v>0</v>
      </c>
      <c r="L134" s="549">
        <f t="shared" si="112"/>
        <v>0</v>
      </c>
      <c r="M134" s="550">
        <f t="shared" si="112"/>
        <v>0</v>
      </c>
      <c r="N134" s="551">
        <f t="shared" si="112"/>
        <v>0</v>
      </c>
      <c r="O134" s="138" t="e">
        <f>(I134/K11)^(1/5)-1</f>
        <v>#DIV/0!</v>
      </c>
      <c r="P134" s="507" t="e">
        <f>(N134/I134)^(1/5)-1</f>
        <v>#DIV/0!</v>
      </c>
    </row>
    <row r="135" spans="2:21" x14ac:dyDescent="0.25">
      <c r="C135" s="540" t="s">
        <v>1174</v>
      </c>
      <c r="D135" s="541"/>
      <c r="E135" s="534">
        <f>SUMIF(E132:E134,"&gt;0",E132:E134)</f>
        <v>17838.306583200003</v>
      </c>
      <c r="F135" s="231">
        <f t="shared" ref="F135:N135" si="113">SUMIF(F132:F134,"&gt;0",F132:F134)</f>
        <v>19825.155170722086</v>
      </c>
      <c r="G135" s="231">
        <f t="shared" si="113"/>
        <v>21831.661428739713</v>
      </c>
      <c r="H135" s="231">
        <f t="shared" si="113"/>
        <v>24045.923508279884</v>
      </c>
      <c r="I135" s="231">
        <f t="shared" si="113"/>
        <v>26489.876691061218</v>
      </c>
      <c r="J135" s="231">
        <f t="shared" si="113"/>
        <v>28995.506187178205</v>
      </c>
      <c r="K135" s="231">
        <f t="shared" si="113"/>
        <v>31253.24636511895</v>
      </c>
      <c r="L135" s="231">
        <f t="shared" si="113"/>
        <v>33480.634281462546</v>
      </c>
      <c r="M135" s="231">
        <f t="shared" si="113"/>
        <v>35638.355450837727</v>
      </c>
      <c r="N135" s="535">
        <f t="shared" si="113"/>
        <v>37938.310927902588</v>
      </c>
      <c r="O135" s="552">
        <f>(I135/K12)^(1/5)-1</f>
        <v>0.10741066341194627</v>
      </c>
      <c r="P135" s="552">
        <f>(N135/I135)^(1/5)-1</f>
        <v>7.4483154143591745E-2</v>
      </c>
    </row>
    <row r="136" spans="2:21" ht="13.5" x14ac:dyDescent="0.25">
      <c r="B136" s="1"/>
      <c r="D136" s="1"/>
      <c r="E136" s="1"/>
      <c r="F136" s="1"/>
      <c r="G136" s="1"/>
      <c r="H136" s="1"/>
      <c r="I136" s="1"/>
      <c r="J136" s="1"/>
      <c r="K136" s="1"/>
    </row>
    <row r="137" spans="2:21" s="1171" customFormat="1" ht="21.75" thickBot="1" x14ac:dyDescent="0.4">
      <c r="B137" s="1533"/>
      <c r="C137" s="1262" t="s">
        <v>281</v>
      </c>
      <c r="D137" s="1263"/>
      <c r="E137" s="1263"/>
      <c r="F137" s="1263"/>
      <c r="G137" s="1263"/>
      <c r="H137" s="1263"/>
      <c r="I137" s="1263"/>
      <c r="J137" s="1263"/>
      <c r="K137" s="1263"/>
      <c r="L137" s="1264"/>
      <c r="M137" s="1264"/>
      <c r="N137" s="1264"/>
      <c r="O137" s="1265"/>
      <c r="P137" s="1266"/>
      <c r="Q137" s="1265"/>
      <c r="R137" s="1265"/>
      <c r="S137" s="1266"/>
      <c r="T137" s="1266"/>
      <c r="U137" s="1266"/>
    </row>
    <row r="138" spans="2:21" ht="13.15" customHeight="1" thickTop="1" x14ac:dyDescent="0.25"/>
    <row r="139" spans="2:21" outlineLevel="1" x14ac:dyDescent="0.25">
      <c r="C139" s="240" t="s">
        <v>1156</v>
      </c>
      <c r="D139" s="553">
        <v>1</v>
      </c>
      <c r="E139" s="553">
        <f>D139+1</f>
        <v>2</v>
      </c>
      <c r="F139" s="553">
        <f t="shared" ref="F139:K139" si="114">E139+1</f>
        <v>3</v>
      </c>
      <c r="G139" s="553">
        <f t="shared" si="114"/>
        <v>4</v>
      </c>
      <c r="H139" s="553">
        <f t="shared" si="114"/>
        <v>5</v>
      </c>
      <c r="I139" s="553">
        <f t="shared" si="114"/>
        <v>6</v>
      </c>
      <c r="J139" s="553">
        <f t="shared" si="114"/>
        <v>7</v>
      </c>
      <c r="K139" s="553">
        <f t="shared" si="114"/>
        <v>8</v>
      </c>
      <c r="L139" s="4"/>
      <c r="M139" s="4"/>
      <c r="N139" s="4"/>
      <c r="O139" s="4"/>
      <c r="P139" s="4"/>
      <c r="Q139" s="4"/>
      <c r="R139" s="4"/>
      <c r="S139" s="4"/>
      <c r="T139" s="4"/>
      <c r="U139" s="4"/>
    </row>
    <row r="140" spans="2:21" ht="15.75" outlineLevel="1" thickBot="1" x14ac:dyDescent="0.3">
      <c r="C140" s="56"/>
      <c r="D140" s="57" t="str">
        <f t="shared" ref="D140:K140" si="115">D8</f>
        <v>2008</v>
      </c>
      <c r="E140" s="20" t="str">
        <f t="shared" si="115"/>
        <v>2009</v>
      </c>
      <c r="F140" s="20" t="str">
        <f t="shared" si="115"/>
        <v>2010</v>
      </c>
      <c r="G140" s="20" t="str">
        <f t="shared" si="115"/>
        <v>2011</v>
      </c>
      <c r="H140" s="20" t="str">
        <f t="shared" si="115"/>
        <v>2012</v>
      </c>
      <c r="I140" s="20" t="str">
        <f t="shared" si="115"/>
        <v>2013</v>
      </c>
      <c r="J140" s="20" t="str">
        <f t="shared" si="115"/>
        <v>2014</v>
      </c>
      <c r="K140" s="21" t="str">
        <f t="shared" si="115"/>
        <v>2015</v>
      </c>
      <c r="L140" s="20">
        <f>K140+1</f>
        <v>2016</v>
      </c>
      <c r="M140" s="20">
        <f t="shared" ref="M140:U140" si="116">L140+1</f>
        <v>2017</v>
      </c>
      <c r="N140" s="20">
        <f t="shared" si="116"/>
        <v>2018</v>
      </c>
      <c r="O140" s="20">
        <f t="shared" si="116"/>
        <v>2019</v>
      </c>
      <c r="P140" s="20">
        <f t="shared" si="116"/>
        <v>2020</v>
      </c>
      <c r="Q140" s="20">
        <f t="shared" si="116"/>
        <v>2021</v>
      </c>
      <c r="R140" s="20">
        <f t="shared" si="116"/>
        <v>2022</v>
      </c>
      <c r="S140" s="20">
        <f t="shared" si="116"/>
        <v>2023</v>
      </c>
      <c r="T140" s="20">
        <f t="shared" si="116"/>
        <v>2024</v>
      </c>
      <c r="U140" s="21">
        <f t="shared" si="116"/>
        <v>2025</v>
      </c>
    </row>
    <row r="141" spans="2:21" outlineLevel="1" x14ac:dyDescent="0.25">
      <c r="C141" s="137" t="s">
        <v>238</v>
      </c>
      <c r="D141" s="488">
        <f>UFRS!C152/1000000</f>
        <v>6775.5379999999996</v>
      </c>
      <c r="E141" s="489">
        <f>UFRS!D152/1000000</f>
        <v>7186.7460000000001</v>
      </c>
      <c r="F141" s="489">
        <f>UFRS!E152/1000000</f>
        <v>7388.9920000000002</v>
      </c>
      <c r="G141" s="489">
        <f>UFRS!F152/1000000</f>
        <v>9038.9609999999993</v>
      </c>
      <c r="H141" s="489">
        <f>UFRS!G152/1000000</f>
        <v>11416.638999999999</v>
      </c>
      <c r="I141" s="489">
        <f>UFRS!H152/1000000</f>
        <v>12195.197</v>
      </c>
      <c r="J141" s="489">
        <f>UFRS!I152/1000000</f>
        <v>13941.637000000001</v>
      </c>
      <c r="K141" s="490">
        <f>UFRS!J152/1000000</f>
        <v>15905.101000000001</v>
      </c>
      <c r="L141" s="498">
        <f>+E135</f>
        <v>17838.306583200003</v>
      </c>
      <c r="M141" s="499">
        <f>+F135</f>
        <v>19825.155170722086</v>
      </c>
      <c r="N141" s="499">
        <f>+G135</f>
        <v>21831.661428739713</v>
      </c>
      <c r="O141" s="499">
        <f>+H135</f>
        <v>24045.923508279884</v>
      </c>
      <c r="P141" s="499">
        <f t="shared" ref="P141:U141" si="117">+I135</f>
        <v>26489.876691061218</v>
      </c>
      <c r="Q141" s="499">
        <f t="shared" si="117"/>
        <v>28995.506187178205</v>
      </c>
      <c r="R141" s="499">
        <f t="shared" si="117"/>
        <v>31253.24636511895</v>
      </c>
      <c r="S141" s="499">
        <f t="shared" si="117"/>
        <v>33480.634281462546</v>
      </c>
      <c r="T141" s="499">
        <f t="shared" si="117"/>
        <v>35638.355450837727</v>
      </c>
      <c r="U141" s="499">
        <f t="shared" si="117"/>
        <v>37938.310927902588</v>
      </c>
    </row>
    <row r="142" spans="2:21" outlineLevel="1" x14ac:dyDescent="0.25">
      <c r="C142" s="139" t="s">
        <v>1178</v>
      </c>
      <c r="D142" s="491">
        <f>UFRS!C156/1000000</f>
        <v>724.53381157778335</v>
      </c>
      <c r="E142" s="492">
        <f>UFRS!D156/1000000</f>
        <v>594.851</v>
      </c>
      <c r="F142" s="492">
        <f>UFRS!E156/1000000</f>
        <v>452.572</v>
      </c>
      <c r="G142" s="492">
        <f>UFRS!F156/1000000</f>
        <v>601.72199999999998</v>
      </c>
      <c r="H142" s="492">
        <f>UFRS!G156/1000000</f>
        <v>859.77800000000002</v>
      </c>
      <c r="I142" s="492">
        <f>UFRS!H156/1000000</f>
        <v>1097.4860000000001</v>
      </c>
      <c r="J142" s="492">
        <f>UFRS!I156/1000000</f>
        <v>1427.604</v>
      </c>
      <c r="K142" s="493">
        <f>UFRS!J156/1000000</f>
        <v>1739.001</v>
      </c>
      <c r="L142" s="494"/>
      <c r="M142" s="494"/>
      <c r="N142" s="494"/>
      <c r="O142" s="494"/>
      <c r="P142" s="494"/>
      <c r="Q142" s="494"/>
      <c r="R142" s="494"/>
      <c r="S142" s="494"/>
      <c r="T142" s="494"/>
      <c r="U142" s="494"/>
    </row>
    <row r="143" spans="2:21" outlineLevel="1" x14ac:dyDescent="0.25">
      <c r="C143" s="139" t="s">
        <v>855</v>
      </c>
      <c r="D143" s="495">
        <f>D142/D141</f>
        <v>0.10693376844433364</v>
      </c>
      <c r="E143" s="246">
        <f t="shared" ref="E143:K143" si="118">E142/E141</f>
        <v>8.2770561252616975E-2</v>
      </c>
      <c r="F143" s="246">
        <f t="shared" si="118"/>
        <v>6.1249491134920703E-2</v>
      </c>
      <c r="G143" s="246">
        <f t="shared" si="118"/>
        <v>6.6569819252456114E-2</v>
      </c>
      <c r="H143" s="246">
        <f t="shared" si="118"/>
        <v>7.5309204398947893E-2</v>
      </c>
      <c r="I143" s="246">
        <f t="shared" si="118"/>
        <v>8.9993298181243006E-2</v>
      </c>
      <c r="J143" s="246">
        <f t="shared" si="118"/>
        <v>0.10239859207351332</v>
      </c>
      <c r="K143" s="328">
        <f t="shared" si="118"/>
        <v>0.10933605514356683</v>
      </c>
      <c r="L143" s="328"/>
      <c r="M143" s="328"/>
      <c r="N143" s="328"/>
      <c r="O143" s="328"/>
      <c r="P143" s="328"/>
      <c r="Q143" s="328"/>
      <c r="R143" s="328"/>
      <c r="S143" s="328"/>
      <c r="T143" s="328"/>
      <c r="U143" s="328"/>
    </row>
    <row r="144" spans="2:21" outlineLevel="1" x14ac:dyDescent="0.25">
      <c r="C144" s="4"/>
      <c r="D144" s="4"/>
      <c r="E144" s="4"/>
      <c r="F144" s="4"/>
      <c r="G144" s="4"/>
      <c r="H144" s="4"/>
      <c r="I144" s="4"/>
      <c r="J144" s="4"/>
      <c r="K144" s="4"/>
      <c r="L144" s="4"/>
      <c r="M144" s="4"/>
      <c r="N144" s="4"/>
      <c r="O144" s="4"/>
      <c r="P144" s="4"/>
      <c r="Q144" s="4"/>
      <c r="R144" s="4"/>
      <c r="S144" s="4"/>
      <c r="T144" s="4"/>
      <c r="U144" s="4"/>
    </row>
    <row r="145" spans="2:21" outlineLevel="1" x14ac:dyDescent="0.25">
      <c r="C145" s="329" t="s">
        <v>1179</v>
      </c>
      <c r="D145" s="330">
        <f>MIN(D143:K143)</f>
        <v>6.1249491134920703E-2</v>
      </c>
      <c r="L145" s="2"/>
      <c r="M145" s="2"/>
      <c r="N145" s="2"/>
      <c r="O145" s="2"/>
      <c r="P145" s="2"/>
      <c r="Q145" s="2"/>
      <c r="R145" s="2"/>
    </row>
    <row r="146" spans="2:21" ht="15.75" outlineLevel="1" thickBot="1" x14ac:dyDescent="0.3">
      <c r="C146" s="329" t="s">
        <v>1180</v>
      </c>
      <c r="D146" s="330">
        <f>MAX(D143:K143)</f>
        <v>0.10933605514356683</v>
      </c>
      <c r="I146" s="332">
        <f>K140+1</f>
        <v>2016</v>
      </c>
      <c r="J146" s="332">
        <f>I146+1</f>
        <v>2017</v>
      </c>
      <c r="K146" s="332">
        <f t="shared" ref="K146:R146" si="119">J146+1</f>
        <v>2018</v>
      </c>
      <c r="L146" s="332">
        <f t="shared" si="119"/>
        <v>2019</v>
      </c>
      <c r="M146" s="332">
        <f t="shared" si="119"/>
        <v>2020</v>
      </c>
      <c r="N146" s="332">
        <f t="shared" si="119"/>
        <v>2021</v>
      </c>
      <c r="O146" s="332">
        <f t="shared" si="119"/>
        <v>2022</v>
      </c>
      <c r="P146" s="332">
        <f t="shared" si="119"/>
        <v>2023</v>
      </c>
      <c r="Q146" s="332">
        <f t="shared" si="119"/>
        <v>2024</v>
      </c>
      <c r="R146" s="332">
        <f t="shared" si="119"/>
        <v>2025</v>
      </c>
      <c r="S146" s="333" t="s">
        <v>267</v>
      </c>
    </row>
    <row r="147" spans="2:21" outlineLevel="1" x14ac:dyDescent="0.25">
      <c r="C147" s="329" t="s">
        <v>1181</v>
      </c>
      <c r="D147" s="330">
        <f>AVERAGE(D143:K143)</f>
        <v>8.6820098735199816E-2</v>
      </c>
      <c r="G147" s="2093" t="s">
        <v>1006</v>
      </c>
      <c r="H147" s="44" t="s">
        <v>1183</v>
      </c>
      <c r="I147" s="334">
        <f>+K143</f>
        <v>0.10933605514356683</v>
      </c>
      <c r="J147" s="554">
        <f>I147</f>
        <v>0.10933605514356683</v>
      </c>
      <c r="K147" s="554">
        <f>J147</f>
        <v>0.10933605514356683</v>
      </c>
      <c r="L147" s="554">
        <f>K147</f>
        <v>0.10933605514356683</v>
      </c>
      <c r="M147" s="554">
        <f>L147</f>
        <v>0.10933605514356683</v>
      </c>
      <c r="N147" s="554">
        <f>M147-($M$147-$R$147)/5</f>
        <v>0.1054159943265728</v>
      </c>
      <c r="O147" s="554">
        <f>N147-($M$147-$R$147)/5</f>
        <v>0.10149593350957876</v>
      </c>
      <c r="P147" s="554">
        <f>O147-($M$147-$R$147)/5</f>
        <v>9.7575872692584734E-2</v>
      </c>
      <c r="Q147" s="554">
        <f>P147-($M$147-$R$147)/5</f>
        <v>9.3655811875590703E-2</v>
      </c>
      <c r="R147" s="335">
        <f>+D149</f>
        <v>8.9735751058596644E-2</v>
      </c>
      <c r="S147" s="1516"/>
    </row>
    <row r="148" spans="2:21" ht="15.75" outlineLevel="1" thickBot="1" x14ac:dyDescent="0.3">
      <c r="C148" s="329" t="s">
        <v>1182</v>
      </c>
      <c r="D148" s="330">
        <f>MEDIAN(D143:K143)</f>
        <v>8.6381929716929984E-2</v>
      </c>
      <c r="G148" s="2094"/>
      <c r="H148" s="227" t="s">
        <v>1184</v>
      </c>
      <c r="I148" s="336">
        <f>I147*L141</f>
        <v>1950.3700722486067</v>
      </c>
      <c r="J148" s="337">
        <f t="shared" ref="J148:R148" si="120">J147*M141</f>
        <v>2167.604258975839</v>
      </c>
      <c r="K148" s="337">
        <f t="shared" si="120"/>
        <v>2386.9877378483661</v>
      </c>
      <c r="L148" s="337">
        <f t="shared" si="120"/>
        <v>2629.0864186792792</v>
      </c>
      <c r="M148" s="337">
        <f t="shared" si="120"/>
        <v>2896.2986186401549</v>
      </c>
      <c r="N148" s="337">
        <f>N147*Q141</f>
        <v>3056.590115723684</v>
      </c>
      <c r="O148" s="337">
        <f>O147*R141</f>
        <v>3172.0774150325969</v>
      </c>
      <c r="P148" s="337">
        <f t="shared" si="120"/>
        <v>3266.9021083149773</v>
      </c>
      <c r="Q148" s="337">
        <f t="shared" si="120"/>
        <v>3337.7391136590909</v>
      </c>
      <c r="R148" s="337">
        <f t="shared" si="120"/>
        <v>3404.4228250099031</v>
      </c>
      <c r="S148" s="338"/>
    </row>
    <row r="149" spans="2:21" outlineLevel="1" x14ac:dyDescent="0.25">
      <c r="C149" s="329" t="s">
        <v>1188</v>
      </c>
      <c r="D149" s="330">
        <f>SUMPRODUCT(D143:K143,D139:K139)/SUM(D139:K139)</f>
        <v>8.9735751058596644E-2</v>
      </c>
      <c r="L149" s="2"/>
      <c r="M149" s="2"/>
      <c r="N149" s="2"/>
      <c r="O149" s="2"/>
      <c r="P149" s="2"/>
      <c r="Q149" s="2"/>
      <c r="R149" s="2"/>
    </row>
    <row r="150" spans="2:21" s="1171" customFormat="1" ht="21.75" thickBot="1" x14ac:dyDescent="0.4">
      <c r="B150" s="1533"/>
      <c r="C150" s="1262" t="s">
        <v>284</v>
      </c>
      <c r="D150" s="1263"/>
      <c r="E150" s="1263"/>
      <c r="F150" s="1263"/>
      <c r="G150" s="1263"/>
      <c r="H150" s="1263"/>
      <c r="I150" s="1263"/>
      <c r="J150" s="1263"/>
      <c r="K150" s="1263"/>
      <c r="L150" s="1264"/>
      <c r="M150" s="1264"/>
      <c r="N150" s="1264"/>
      <c r="O150" s="1265"/>
      <c r="P150" s="1266"/>
      <c r="Q150" s="1265"/>
      <c r="R150" s="1265"/>
      <c r="S150" s="1266"/>
      <c r="T150" s="1266"/>
      <c r="U150" s="1266"/>
    </row>
    <row r="151" spans="2:21" ht="13.5" customHeight="1" thickTop="1" x14ac:dyDescent="0.25"/>
    <row r="152" spans="2:21" ht="15" customHeight="1" outlineLevel="1" thickBot="1" x14ac:dyDescent="0.3">
      <c r="C152" s="555" t="s">
        <v>1175</v>
      </c>
      <c r="O152" s="2087" t="s">
        <v>1084</v>
      </c>
      <c r="P152" s="2088"/>
      <c r="Q152" s="2089"/>
    </row>
    <row r="153" spans="2:21" ht="17.25" outlineLevel="1" x14ac:dyDescent="0.3">
      <c r="C153" s="556"/>
      <c r="D153" s="557" t="str">
        <f>K140</f>
        <v>2015</v>
      </c>
      <c r="E153" s="557">
        <f t="shared" ref="E153:N153" si="121">E131</f>
        <v>2016</v>
      </c>
      <c r="F153" s="557">
        <f t="shared" si="121"/>
        <v>2017</v>
      </c>
      <c r="G153" s="557">
        <f t="shared" si="121"/>
        <v>2018</v>
      </c>
      <c r="H153" s="557">
        <f t="shared" si="121"/>
        <v>2019</v>
      </c>
      <c r="I153" s="557">
        <f t="shared" si="121"/>
        <v>2020</v>
      </c>
      <c r="J153" s="557">
        <f t="shared" si="121"/>
        <v>2021</v>
      </c>
      <c r="K153" s="557">
        <f t="shared" si="121"/>
        <v>2022</v>
      </c>
      <c r="L153" s="557">
        <f t="shared" si="121"/>
        <v>2023</v>
      </c>
      <c r="M153" s="557">
        <f t="shared" si="121"/>
        <v>2024</v>
      </c>
      <c r="N153" s="557">
        <f t="shared" si="121"/>
        <v>2025</v>
      </c>
      <c r="O153" s="2050" t="str">
        <f>CONCATENATE(E153,"-",I153)</f>
        <v>2016-2020</v>
      </c>
      <c r="P153" s="2051" t="str">
        <f>CONCATENATE(J153,"-",N153)</f>
        <v>2021-2025</v>
      </c>
      <c r="Q153" s="2052" t="s">
        <v>267</v>
      </c>
    </row>
    <row r="154" spans="2:21" outlineLevel="1" x14ac:dyDescent="0.25">
      <c r="C154" s="329" t="s">
        <v>946</v>
      </c>
      <c r="D154" s="558">
        <f>K141-K142</f>
        <v>14166.1</v>
      </c>
      <c r="E154" s="2048">
        <f>E135-I148</f>
        <v>15887.936510951396</v>
      </c>
      <c r="F154" s="2048">
        <f>F135-J148</f>
        <v>17657.550911746246</v>
      </c>
      <c r="G154" s="2048">
        <f t="shared" ref="G154:N154" si="122">G135-K148</f>
        <v>19444.673690891348</v>
      </c>
      <c r="H154" s="2048">
        <f t="shared" si="122"/>
        <v>21416.837089600605</v>
      </c>
      <c r="I154" s="2048">
        <f t="shared" si="122"/>
        <v>23593.578072421064</v>
      </c>
      <c r="J154" s="2048">
        <f t="shared" si="122"/>
        <v>25938.916071454521</v>
      </c>
      <c r="K154" s="2048">
        <f t="shared" si="122"/>
        <v>28081.168950086354</v>
      </c>
      <c r="L154" s="2048">
        <f t="shared" si="122"/>
        <v>30213.732173147568</v>
      </c>
      <c r="M154" s="2048">
        <f t="shared" si="122"/>
        <v>32300.616337178635</v>
      </c>
      <c r="N154" s="2048">
        <f t="shared" si="122"/>
        <v>34533.888102892684</v>
      </c>
      <c r="O154" s="2053">
        <f>(I154/D154)^(1/5)-1</f>
        <v>0.10741066341194649</v>
      </c>
      <c r="P154" s="2053">
        <f>(N154/I154)^(1/5)-1</f>
        <v>7.9171167787424501E-2</v>
      </c>
      <c r="Q154" s="2053"/>
    </row>
    <row r="155" spans="2:21" outlineLevel="1" x14ac:dyDescent="0.25">
      <c r="C155" s="329" t="s">
        <v>1161</v>
      </c>
      <c r="D155" s="2044"/>
      <c r="E155" s="2045">
        <f>E154/D154-1</f>
        <v>0.12154626262354462</v>
      </c>
      <c r="F155" s="2045">
        <f t="shared" ref="F155:N155" si="123">F154/E154-1</f>
        <v>0.1113810090803844</v>
      </c>
      <c r="G155" s="2045">
        <f t="shared" si="123"/>
        <v>0.10121011617507292</v>
      </c>
      <c r="H155" s="2045">
        <f t="shared" si="123"/>
        <v>0.10142435044477494</v>
      </c>
      <c r="I155" s="2045">
        <f t="shared" si="123"/>
        <v>0.10163690248535451</v>
      </c>
      <c r="J155" s="2045">
        <f t="shared" si="123"/>
        <v>9.940577863325295E-2</v>
      </c>
      <c r="K155" s="2045">
        <f t="shared" si="123"/>
        <v>8.258837311206535E-2</v>
      </c>
      <c r="L155" s="2045">
        <f t="shared" si="123"/>
        <v>7.5942822282498268E-2</v>
      </c>
      <c r="M155" s="2045">
        <f t="shared" si="123"/>
        <v>6.9070717648241464E-2</v>
      </c>
      <c r="N155" s="2045">
        <f t="shared" si="123"/>
        <v>6.9140221424923931E-2</v>
      </c>
      <c r="O155" s="2054"/>
      <c r="P155" s="2054"/>
      <c r="Q155" s="2055">
        <v>0.05</v>
      </c>
      <c r="R155" s="225" t="s">
        <v>1189</v>
      </c>
    </row>
    <row r="156" spans="2:21" x14ac:dyDescent="0.25">
      <c r="D156" s="1"/>
      <c r="E156" s="1"/>
      <c r="F156" s="1"/>
      <c r="G156" s="1"/>
      <c r="H156" s="1"/>
      <c r="I156" s="1"/>
      <c r="J156" s="1"/>
      <c r="K156" s="1"/>
    </row>
    <row r="158" spans="2:21" x14ac:dyDescent="0.25">
      <c r="I158" s="2" t="s">
        <v>1799</v>
      </c>
      <c r="J158" s="2049"/>
    </row>
    <row r="159" spans="2:21" x14ac:dyDescent="0.25">
      <c r="I159" s="2" t="s">
        <v>1800</v>
      </c>
      <c r="J159" s="2056"/>
    </row>
  </sheetData>
  <mergeCells count="4">
    <mergeCell ref="O152:Q152"/>
    <mergeCell ref="M14:S14"/>
    <mergeCell ref="N28:O28"/>
    <mergeCell ref="G147:G148"/>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10">
    <tabColor theme="1"/>
  </sheetPr>
  <dimension ref="B1:W184"/>
  <sheetViews>
    <sheetView topLeftCell="A40" zoomScale="136" zoomScaleNormal="136" workbookViewId="0">
      <selection activeCell="N22" sqref="N22"/>
    </sheetView>
  </sheetViews>
  <sheetFormatPr defaultColWidth="9.140625" defaultRowHeight="15" outlineLevelRow="1" x14ac:dyDescent="0.25"/>
  <cols>
    <col min="1" max="1" width="2" style="4" customWidth="1"/>
    <col min="2" max="2" width="4.5703125" style="4" customWidth="1"/>
    <col min="3" max="3" width="41.7109375" style="4" customWidth="1"/>
    <col min="4" max="4" width="9.42578125" style="4" bestFit="1" customWidth="1"/>
    <col min="5" max="5" width="11.42578125" style="4" bestFit="1" customWidth="1"/>
    <col min="6" max="6" width="9.42578125" style="4" bestFit="1" customWidth="1"/>
    <col min="7" max="7" width="10.42578125" style="4" customWidth="1"/>
    <col min="8" max="13" width="9.42578125" style="4" bestFit="1" customWidth="1"/>
    <col min="14" max="14" width="9.85546875" style="4" customWidth="1"/>
    <col min="15" max="15" width="10.28515625" style="4" customWidth="1"/>
    <col min="16" max="16384" width="9.140625" style="4"/>
  </cols>
  <sheetData>
    <row r="1" spans="2:21" ht="8.25" customHeight="1" x14ac:dyDescent="0.25"/>
    <row r="2" spans="2:21" x14ac:dyDescent="0.25">
      <c r="D2" s="6"/>
      <c r="E2" s="6"/>
      <c r="F2" s="6"/>
      <c r="G2" s="6"/>
      <c r="H2" s="6"/>
      <c r="I2" s="314"/>
      <c r="J2" s="315" t="s">
        <v>232</v>
      </c>
      <c r="K2" s="316"/>
      <c r="M2" s="317"/>
      <c r="N2" s="315" t="s">
        <v>233</v>
      </c>
      <c r="O2" s="316"/>
      <c r="Q2" s="318"/>
      <c r="R2" s="315" t="s">
        <v>263</v>
      </c>
    </row>
    <row r="3" spans="2:21" x14ac:dyDescent="0.25">
      <c r="C3" s="1"/>
      <c r="D3" s="2"/>
      <c r="E3" s="2"/>
      <c r="F3" s="2"/>
      <c r="G3" s="2"/>
      <c r="H3" s="2"/>
      <c r="I3" s="2"/>
      <c r="J3" s="2"/>
      <c r="K3" s="2"/>
      <c r="L3" s="1"/>
      <c r="M3" s="1"/>
      <c r="N3" s="1"/>
      <c r="O3" s="485"/>
      <c r="P3" s="486"/>
      <c r="Q3" s="487"/>
      <c r="R3" s="485"/>
      <c r="S3" s="486"/>
      <c r="T3" s="487"/>
    </row>
    <row r="4" spans="2:21" s="1171" customFormat="1" ht="22.9" customHeight="1" thickBot="1" x14ac:dyDescent="0.4">
      <c r="B4" s="1551"/>
      <c r="C4" s="1522" t="s">
        <v>994</v>
      </c>
      <c r="D4" s="1523"/>
      <c r="E4" s="1523"/>
      <c r="F4" s="1523"/>
      <c r="G4" s="1523"/>
      <c r="H4" s="1523"/>
      <c r="I4" s="1523"/>
      <c r="J4" s="1523"/>
      <c r="K4" s="1523"/>
      <c r="L4" s="1524"/>
      <c r="M4" s="1524"/>
      <c r="N4" s="1524"/>
      <c r="O4" s="1525"/>
      <c r="P4" s="1526"/>
      <c r="Q4" s="1525"/>
      <c r="R4" s="1525"/>
      <c r="S4" s="1526"/>
      <c r="T4" s="1526"/>
      <c r="U4" s="1526"/>
    </row>
    <row r="5" spans="2:21" ht="7.15" customHeight="1" thickBot="1" x14ac:dyDescent="0.3"/>
    <row r="6" spans="2:21" s="319" customFormat="1" ht="21.6" customHeight="1" thickBot="1" x14ac:dyDescent="0.35">
      <c r="B6" s="1280" t="s">
        <v>251</v>
      </c>
      <c r="C6" s="1281" t="s">
        <v>1159</v>
      </c>
      <c r="D6" s="1282"/>
      <c r="E6" s="1282"/>
      <c r="F6" s="1282"/>
      <c r="G6" s="1283"/>
      <c r="H6" s="1284"/>
      <c r="I6" s="1285"/>
      <c r="J6" s="1285"/>
      <c r="K6" s="1285"/>
      <c r="L6" s="1286"/>
      <c r="M6" s="1286"/>
      <c r="N6" s="1286"/>
      <c r="O6" s="1286"/>
      <c r="P6" s="1286"/>
      <c r="Q6" s="1286"/>
      <c r="R6" s="1286"/>
      <c r="S6" s="1286"/>
      <c r="T6" s="1286"/>
      <c r="U6" s="1287"/>
    </row>
    <row r="7" spans="2:21" ht="8.25" customHeight="1" x14ac:dyDescent="0.25"/>
    <row r="8" spans="2:21" s="122" customFormat="1" ht="15.75" outlineLevel="1" x14ac:dyDescent="0.25">
      <c r="C8" s="725" t="s">
        <v>1156</v>
      </c>
      <c r="D8" s="1530">
        <v>1</v>
      </c>
      <c r="E8" s="1530">
        <f>D8+1</f>
        <v>2</v>
      </c>
      <c r="F8" s="1530">
        <f t="shared" ref="F8:K8" si="0">E8+1</f>
        <v>3</v>
      </c>
      <c r="G8" s="1530">
        <f t="shared" si="0"/>
        <v>4</v>
      </c>
      <c r="H8" s="1530">
        <f t="shared" si="0"/>
        <v>5</v>
      </c>
      <c r="I8" s="1530">
        <f t="shared" si="0"/>
        <v>6</v>
      </c>
      <c r="J8" s="1530">
        <f t="shared" si="0"/>
        <v>7</v>
      </c>
      <c r="K8" s="1530">
        <f t="shared" si="0"/>
        <v>8</v>
      </c>
    </row>
    <row r="9" spans="2:21" s="122" customFormat="1" ht="16.5" outlineLevel="1" thickBot="1" x14ac:dyDescent="0.3">
      <c r="C9" s="873"/>
      <c r="D9" s="511" t="str">
        <f>Sales!D8</f>
        <v>2008</v>
      </c>
      <c r="E9" s="512" t="str">
        <f>Sales!E8</f>
        <v>2009</v>
      </c>
      <c r="F9" s="512" t="str">
        <f>Sales!F8</f>
        <v>2010</v>
      </c>
      <c r="G9" s="512" t="str">
        <f>Sales!G8</f>
        <v>2011</v>
      </c>
      <c r="H9" s="512" t="str">
        <f>Sales!H8</f>
        <v>2012</v>
      </c>
      <c r="I9" s="512" t="str">
        <f>Sales!I8</f>
        <v>2013</v>
      </c>
      <c r="J9" s="512" t="str">
        <f>Sales!J8</f>
        <v>2014</v>
      </c>
      <c r="K9" s="513" t="str">
        <f>Sales!K8</f>
        <v>2015</v>
      </c>
      <c r="L9" s="512">
        <f>K9+1</f>
        <v>2016</v>
      </c>
      <c r="M9" s="512">
        <f t="shared" ref="M9:U9" si="1">L9+1</f>
        <v>2017</v>
      </c>
      <c r="N9" s="512">
        <f t="shared" si="1"/>
        <v>2018</v>
      </c>
      <c r="O9" s="512">
        <f t="shared" si="1"/>
        <v>2019</v>
      </c>
      <c r="P9" s="512">
        <f t="shared" si="1"/>
        <v>2020</v>
      </c>
      <c r="Q9" s="512">
        <f t="shared" si="1"/>
        <v>2021</v>
      </c>
      <c r="R9" s="512">
        <f t="shared" si="1"/>
        <v>2022</v>
      </c>
      <c r="S9" s="512">
        <f t="shared" si="1"/>
        <v>2023</v>
      </c>
      <c r="T9" s="512">
        <f t="shared" si="1"/>
        <v>2024</v>
      </c>
      <c r="U9" s="513">
        <f t="shared" si="1"/>
        <v>2025</v>
      </c>
    </row>
    <row r="10" spans="2:21" s="122" customFormat="1" ht="15.75" outlineLevel="1" x14ac:dyDescent="0.25">
      <c r="C10" s="874" t="s">
        <v>238</v>
      </c>
      <c r="D10" s="875">
        <f>+Mali!C56</f>
        <v>6775.5379999999996</v>
      </c>
      <c r="E10" s="876">
        <f>+Mali!D56</f>
        <v>6591.8950000000004</v>
      </c>
      <c r="F10" s="876">
        <f>+Mali!E56</f>
        <v>6936.42</v>
      </c>
      <c r="G10" s="876">
        <f>+Mali!F56</f>
        <v>8437.2389999999996</v>
      </c>
      <c r="H10" s="876">
        <f>+Mali!G56</f>
        <v>10556.861000000001</v>
      </c>
      <c r="I10" s="876">
        <f>+Mali!H56</f>
        <v>11097.710999999999</v>
      </c>
      <c r="J10" s="876">
        <f>+Mali!I56</f>
        <v>12514.032999999999</v>
      </c>
      <c r="K10" s="877">
        <f>+Mali!J56</f>
        <v>14166.1</v>
      </c>
      <c r="L10" s="2046">
        <f>Sales!E154</f>
        <v>15887.936510951396</v>
      </c>
      <c r="M10" s="2047">
        <f>Sales!F154</f>
        <v>17657.550911746246</v>
      </c>
      <c r="N10" s="2047">
        <f>Sales!G154</f>
        <v>19444.673690891348</v>
      </c>
      <c r="O10" s="2047">
        <f>Sales!H154</f>
        <v>21416.837089600605</v>
      </c>
      <c r="P10" s="2047">
        <f>Sales!I154</f>
        <v>23593.578072421064</v>
      </c>
      <c r="Q10" s="2047">
        <f>Sales!J154</f>
        <v>25938.916071454521</v>
      </c>
      <c r="R10" s="2047">
        <f>Sales!K154</f>
        <v>28081.168950086354</v>
      </c>
      <c r="S10" s="2047">
        <f>Sales!L154</f>
        <v>30213.732173147568</v>
      </c>
      <c r="T10" s="2047">
        <f>Sales!M154</f>
        <v>32300.616337178635</v>
      </c>
      <c r="U10" s="2047">
        <f>Sales!N154</f>
        <v>34533.888102892684</v>
      </c>
    </row>
    <row r="11" spans="2:21" s="122" customFormat="1" ht="15.75" outlineLevel="1" x14ac:dyDescent="0.25">
      <c r="C11" s="880" t="s">
        <v>272</v>
      </c>
      <c r="D11" s="881">
        <f>+Mali!C57</f>
        <v>4905.2920000000004</v>
      </c>
      <c r="E11" s="882">
        <f>+Mali!D57</f>
        <v>4417.8919999999998</v>
      </c>
      <c r="F11" s="882">
        <f>+Mali!E57</f>
        <v>4868.473</v>
      </c>
      <c r="G11" s="882">
        <f>+Mali!F57</f>
        <v>5897.009</v>
      </c>
      <c r="H11" s="882">
        <f>+Mali!G57</f>
        <v>7503.0240000000003</v>
      </c>
      <c r="I11" s="882">
        <f>+Mali!H57</f>
        <v>7709.326</v>
      </c>
      <c r="J11" s="882">
        <f>+Mali!I57</f>
        <v>8535.2009999999991</v>
      </c>
      <c r="K11" s="883">
        <f>+Mali!J57</f>
        <v>9630.2070000000003</v>
      </c>
      <c r="L11" s="884"/>
      <c r="M11" s="884"/>
      <c r="N11" s="884"/>
      <c r="O11" s="884"/>
      <c r="P11" s="884"/>
      <c r="Q11" s="884"/>
      <c r="R11" s="884"/>
      <c r="S11" s="884"/>
      <c r="T11" s="884"/>
      <c r="U11" s="884"/>
    </row>
    <row r="12" spans="2:21" s="122" customFormat="1" ht="15.75" outlineLevel="1" x14ac:dyDescent="0.25">
      <c r="C12" s="880" t="s">
        <v>273</v>
      </c>
      <c r="D12" s="885">
        <f>D11/D10</f>
        <v>0.72397084925211852</v>
      </c>
      <c r="E12" s="886">
        <f t="shared" ref="E12:K12" si="2">E11/E10</f>
        <v>0.67020060240643997</v>
      </c>
      <c r="F12" s="886">
        <f t="shared" si="2"/>
        <v>0.70187113813754065</v>
      </c>
      <c r="G12" s="886">
        <f t="shared" si="2"/>
        <v>0.69892639049338301</v>
      </c>
      <c r="H12" s="886">
        <f t="shared" si="2"/>
        <v>0.71072490203290539</v>
      </c>
      <c r="I12" s="886">
        <f t="shared" si="2"/>
        <v>0.6946771275626118</v>
      </c>
      <c r="J12" s="886">
        <f t="shared" si="2"/>
        <v>0.68205038295807585</v>
      </c>
      <c r="K12" s="887">
        <f t="shared" si="2"/>
        <v>0.67980650990745517</v>
      </c>
      <c r="L12" s="887"/>
      <c r="M12" s="887"/>
      <c r="N12" s="887"/>
      <c r="O12" s="887"/>
      <c r="P12" s="887"/>
      <c r="Q12" s="887"/>
      <c r="R12" s="887"/>
      <c r="S12" s="887"/>
      <c r="T12" s="887"/>
      <c r="U12" s="887"/>
    </row>
    <row r="13" spans="2:21" s="122" customFormat="1" ht="15.75" outlineLevel="1" x14ac:dyDescent="0.25"/>
    <row r="14" spans="2:21" s="122" customFormat="1" ht="15.75" outlineLevel="1" x14ac:dyDescent="0.25">
      <c r="C14" s="888" t="s">
        <v>274</v>
      </c>
      <c r="D14" s="889">
        <f>MIN(D12:K12)</f>
        <v>0.67020060240643997</v>
      </c>
      <c r="E14" s="890"/>
      <c r="F14" s="890"/>
      <c r="G14" s="890"/>
      <c r="H14" s="890"/>
      <c r="I14" s="890"/>
      <c r="J14" s="890"/>
      <c r="K14" s="890"/>
      <c r="L14" s="890"/>
      <c r="M14" s="890"/>
      <c r="N14" s="890"/>
      <c r="O14" s="890"/>
      <c r="P14" s="890"/>
      <c r="Q14" s="890"/>
      <c r="R14" s="890"/>
    </row>
    <row r="15" spans="2:21" s="122" customFormat="1" ht="16.5" outlineLevel="1" thickBot="1" x14ac:dyDescent="0.3">
      <c r="C15" s="888" t="s">
        <v>1157</v>
      </c>
      <c r="D15" s="889">
        <f>MAX(D12:K12)</f>
        <v>0.72397084925211852</v>
      </c>
      <c r="E15" s="890"/>
      <c r="F15" s="890"/>
      <c r="G15" s="890"/>
      <c r="H15" s="890"/>
      <c r="I15" s="891">
        <f>K9+1</f>
        <v>2016</v>
      </c>
      <c r="J15" s="891">
        <f>I15+1</f>
        <v>2017</v>
      </c>
      <c r="K15" s="891">
        <f t="shared" ref="K15:R15" si="3">J15+1</f>
        <v>2018</v>
      </c>
      <c r="L15" s="891">
        <f t="shared" si="3"/>
        <v>2019</v>
      </c>
      <c r="M15" s="891">
        <f t="shared" si="3"/>
        <v>2020</v>
      </c>
      <c r="N15" s="891">
        <f t="shared" si="3"/>
        <v>2021</v>
      </c>
      <c r="O15" s="891">
        <f t="shared" si="3"/>
        <v>2022</v>
      </c>
      <c r="P15" s="891">
        <f t="shared" si="3"/>
        <v>2023</v>
      </c>
      <c r="Q15" s="891">
        <f t="shared" si="3"/>
        <v>2024</v>
      </c>
      <c r="R15" s="891">
        <f t="shared" si="3"/>
        <v>2025</v>
      </c>
      <c r="S15" s="892" t="s">
        <v>267</v>
      </c>
    </row>
    <row r="16" spans="2:21" s="122" customFormat="1" ht="15.75" outlineLevel="1" x14ac:dyDescent="0.25">
      <c r="C16" s="888" t="s">
        <v>275</v>
      </c>
      <c r="D16" s="889">
        <f>AVERAGE(D12:K12)</f>
        <v>0.6952784878438163</v>
      </c>
      <c r="E16" s="890"/>
      <c r="F16" s="890"/>
      <c r="G16" s="2095" t="s">
        <v>1006</v>
      </c>
      <c r="H16" s="893" t="s">
        <v>277</v>
      </c>
      <c r="I16" s="894">
        <f>K12</f>
        <v>0.67980650990745517</v>
      </c>
      <c r="J16" s="895">
        <f>I16</f>
        <v>0.67980650990745517</v>
      </c>
      <c r="K16" s="895">
        <f>J16</f>
        <v>0.67980650990745517</v>
      </c>
      <c r="L16" s="895">
        <f>K16</f>
        <v>0.67980650990745517</v>
      </c>
      <c r="M16" s="895">
        <f>L16</f>
        <v>0.67980650990745517</v>
      </c>
      <c r="N16" s="895">
        <f>M16-($M$16-$R$16)/5</f>
        <v>0.68217955829239485</v>
      </c>
      <c r="O16" s="895">
        <f>N16-($M$16-$R$16)/5</f>
        <v>0.68455260667733453</v>
      </c>
      <c r="P16" s="895">
        <f>O16-($M$16-$R$16)/5</f>
        <v>0.68692565506227421</v>
      </c>
      <c r="Q16" s="895">
        <f>P16-($M$16-$R$16)/5</f>
        <v>0.68929870344721389</v>
      </c>
      <c r="R16" s="895">
        <f>D18</f>
        <v>0.69167175183215335</v>
      </c>
      <c r="S16" s="1531"/>
    </row>
    <row r="17" spans="2:21" s="122" customFormat="1" ht="16.5" outlineLevel="1" thickBot="1" x14ac:dyDescent="0.3">
      <c r="C17" s="888" t="s">
        <v>276</v>
      </c>
      <c r="D17" s="889">
        <f>MEDIAN(D12:K12)</f>
        <v>0.69680175902799735</v>
      </c>
      <c r="E17" s="890"/>
      <c r="F17" s="890"/>
      <c r="G17" s="2096"/>
      <c r="H17" s="897" t="s">
        <v>271</v>
      </c>
      <c r="I17" s="898">
        <f>I16*L10</f>
        <v>10800.7226691411</v>
      </c>
      <c r="J17" s="899">
        <f t="shared" ref="J17:R17" si="4">J16*M10</f>
        <v>12003.718058827419</v>
      </c>
      <c r="K17" s="899">
        <f t="shared" si="4"/>
        <v>13218.615758094162</v>
      </c>
      <c r="L17" s="899">
        <f t="shared" si="4"/>
        <v>14559.305275137927</v>
      </c>
      <c r="M17" s="899">
        <f t="shared" si="4"/>
        <v>16039.067965641627</v>
      </c>
      <c r="N17" s="899">
        <f t="shared" si="4"/>
        <v>17694.998308208349</v>
      </c>
      <c r="O17" s="899">
        <f t="shared" si="4"/>
        <v>19223.037403328242</v>
      </c>
      <c r="P17" s="899">
        <f t="shared" si="4"/>
        <v>20754.587764915501</v>
      </c>
      <c r="Q17" s="899">
        <f t="shared" si="4"/>
        <v>22264.772961763127</v>
      </c>
      <c r="R17" s="899">
        <f t="shared" si="4"/>
        <v>23886.114881703343</v>
      </c>
      <c r="S17" s="900"/>
    </row>
    <row r="18" spans="2:21" s="122" customFormat="1" ht="16.5" outlineLevel="1" thickBot="1" x14ac:dyDescent="0.3">
      <c r="C18" s="888" t="s">
        <v>1158</v>
      </c>
      <c r="D18" s="889">
        <f>SUMPRODUCT(D12:K12,D8:K8)/SUM(D8:K8)</f>
        <v>0.69167175183215335</v>
      </c>
      <c r="E18" s="890"/>
      <c r="F18" s="890"/>
      <c r="G18" s="890"/>
      <c r="H18" s="890"/>
      <c r="I18" s="890"/>
      <c r="J18" s="890"/>
      <c r="K18" s="890"/>
      <c r="L18" s="890"/>
      <c r="M18" s="890"/>
      <c r="N18" s="890"/>
      <c r="O18" s="890"/>
      <c r="P18" s="890"/>
      <c r="Q18" s="890"/>
      <c r="R18" s="890"/>
    </row>
    <row r="19" spans="2:21" s="319" customFormat="1" ht="22.15" customHeight="1" thickBot="1" x14ac:dyDescent="0.35">
      <c r="B19" s="1280" t="s">
        <v>265</v>
      </c>
      <c r="C19" s="1281" t="s">
        <v>1474</v>
      </c>
      <c r="D19" s="1282"/>
      <c r="E19" s="1282"/>
      <c r="F19" s="1282"/>
      <c r="G19" s="1283"/>
      <c r="H19" s="1284"/>
      <c r="I19" s="1285"/>
      <c r="J19" s="1285"/>
      <c r="K19" s="1285"/>
      <c r="L19" s="1286"/>
      <c r="M19" s="1286"/>
      <c r="N19" s="1286"/>
      <c r="O19" s="1286"/>
      <c r="P19" s="1286"/>
      <c r="Q19" s="1286"/>
      <c r="R19" s="1286"/>
      <c r="S19" s="1286"/>
      <c r="T19" s="1286"/>
      <c r="U19" s="1287"/>
    </row>
    <row r="20" spans="2:21" ht="6" customHeight="1" x14ac:dyDescent="0.25"/>
    <row r="21" spans="2:21" s="122" customFormat="1" ht="16.5" outlineLevel="1" thickBot="1" x14ac:dyDescent="0.3">
      <c r="C21" s="509" t="s">
        <v>1160</v>
      </c>
      <c r="D21" s="510"/>
      <c r="E21" s="511">
        <f>+I15</f>
        <v>2016</v>
      </c>
      <c r="F21" s="512">
        <f t="shared" ref="F21:M21" si="5">E21+1</f>
        <v>2017</v>
      </c>
      <c r="G21" s="512">
        <f t="shared" si="5"/>
        <v>2018</v>
      </c>
      <c r="H21" s="512">
        <f t="shared" si="5"/>
        <v>2019</v>
      </c>
      <c r="I21" s="512">
        <f t="shared" si="5"/>
        <v>2020</v>
      </c>
      <c r="J21" s="512">
        <f t="shared" si="5"/>
        <v>2021</v>
      </c>
      <c r="K21" s="512">
        <f t="shared" si="5"/>
        <v>2022</v>
      </c>
      <c r="L21" s="512">
        <f t="shared" si="5"/>
        <v>2023</v>
      </c>
      <c r="M21" s="512">
        <f t="shared" si="5"/>
        <v>2024</v>
      </c>
      <c r="N21" s="513">
        <f>M21+1</f>
        <v>2025</v>
      </c>
    </row>
    <row r="22" spans="2:21" s="122" customFormat="1" ht="15.75" outlineLevel="1" x14ac:dyDescent="0.25">
      <c r="C22" s="907" t="s">
        <v>254</v>
      </c>
      <c r="D22" s="908"/>
      <c r="E22" s="909">
        <f>+Vars!L6</f>
        <v>0.08</v>
      </c>
      <c r="F22" s="910">
        <f>+Vars!M6</f>
        <v>7.0000000000000007E-2</v>
      </c>
      <c r="G22" s="910">
        <f>+Vars!N6</f>
        <v>0.06</v>
      </c>
      <c r="H22" s="910">
        <f>+Vars!O6</f>
        <v>0.06</v>
      </c>
      <c r="I22" s="910">
        <f>+Vars!P6</f>
        <v>0.06</v>
      </c>
      <c r="J22" s="910">
        <f>+Vars!Q6</f>
        <v>0.05</v>
      </c>
      <c r="K22" s="910">
        <f>+Vars!R6</f>
        <v>0.04</v>
      </c>
      <c r="L22" s="910">
        <f>+Vars!S6</f>
        <v>0.04</v>
      </c>
      <c r="M22" s="910">
        <f>+Vars!T6</f>
        <v>0.04</v>
      </c>
      <c r="N22" s="911">
        <f>+Vars!U6</f>
        <v>0.04</v>
      </c>
      <c r="O22" s="122" t="s">
        <v>1801</v>
      </c>
    </row>
    <row r="23" spans="2:21" s="122" customFormat="1" ht="15.75" outlineLevel="1" x14ac:dyDescent="0.25">
      <c r="C23" s="907" t="s">
        <v>1161</v>
      </c>
      <c r="D23" s="908"/>
      <c r="E23" s="909">
        <f>+G25</f>
        <v>4.8771539214355064E-2</v>
      </c>
      <c r="F23" s="912">
        <f>+Sales!F155</f>
        <v>0.1113810090803844</v>
      </c>
      <c r="G23" s="912">
        <f>+Sales!G155</f>
        <v>0.10121011617507292</v>
      </c>
      <c r="H23" s="912">
        <f>+Sales!H155</f>
        <v>0.10142435044477494</v>
      </c>
      <c r="I23" s="912">
        <f>+Sales!I155</f>
        <v>0.10163690248535451</v>
      </c>
      <c r="J23" s="912">
        <f>+Sales!J155</f>
        <v>9.940577863325295E-2</v>
      </c>
      <c r="K23" s="912">
        <f>+Sales!K155</f>
        <v>8.258837311206535E-2</v>
      </c>
      <c r="L23" s="912">
        <f>+Sales!L155</f>
        <v>7.5942822282498268E-2</v>
      </c>
      <c r="M23" s="912">
        <f>+Sales!M155</f>
        <v>6.9070717648241464E-2</v>
      </c>
      <c r="N23" s="913">
        <f>+Sales!N155</f>
        <v>6.9140221424923931E-2</v>
      </c>
      <c r="O23" s="2057" t="s">
        <v>1802</v>
      </c>
    </row>
    <row r="24" spans="2:21" s="122" customFormat="1" ht="15.75" outlineLevel="1" x14ac:dyDescent="0.25">
      <c r="C24" s="880" t="s">
        <v>1163</v>
      </c>
      <c r="D24" s="914"/>
      <c r="E24" s="915">
        <f>E22-0.01</f>
        <v>7.0000000000000007E-2</v>
      </c>
      <c r="F24" s="916">
        <f t="shared" ref="F24:N24" si="6">F22-0.01</f>
        <v>6.0000000000000005E-2</v>
      </c>
      <c r="G24" s="916">
        <f t="shared" si="6"/>
        <v>4.9999999999999996E-2</v>
      </c>
      <c r="H24" s="916">
        <f t="shared" si="6"/>
        <v>4.9999999999999996E-2</v>
      </c>
      <c r="I24" s="916">
        <f t="shared" si="6"/>
        <v>4.9999999999999996E-2</v>
      </c>
      <c r="J24" s="916">
        <f t="shared" si="6"/>
        <v>0.04</v>
      </c>
      <c r="K24" s="916">
        <f t="shared" si="6"/>
        <v>0.03</v>
      </c>
      <c r="L24" s="916">
        <f t="shared" si="6"/>
        <v>0.03</v>
      </c>
      <c r="M24" s="916">
        <f t="shared" si="6"/>
        <v>0.03</v>
      </c>
      <c r="N24" s="917">
        <f t="shared" si="6"/>
        <v>0.03</v>
      </c>
    </row>
    <row r="25" spans="2:21" s="122" customFormat="1" ht="15.75" outlineLevel="1" x14ac:dyDescent="0.25">
      <c r="C25" s="888" t="s">
        <v>872</v>
      </c>
      <c r="D25" s="918"/>
      <c r="E25" s="902">
        <f t="shared" ref="E25:N25" si="7">(1+E23)/(1+E24)-1</f>
        <v>-1.983968297723826E-2</v>
      </c>
      <c r="F25" s="903">
        <f t="shared" si="7"/>
        <v>4.8472650075834345E-2</v>
      </c>
      <c r="G25" s="903">
        <f t="shared" si="7"/>
        <v>4.8771539214355064E-2</v>
      </c>
      <c r="H25" s="903">
        <f t="shared" si="7"/>
        <v>4.89755718521665E-2</v>
      </c>
      <c r="I25" s="903">
        <f t="shared" si="7"/>
        <v>4.9178002367004314E-2</v>
      </c>
      <c r="J25" s="903">
        <f t="shared" si="7"/>
        <v>5.7120940993512503E-2</v>
      </c>
      <c r="K25" s="903">
        <f t="shared" si="7"/>
        <v>5.1056672924335356E-2</v>
      </c>
      <c r="L25" s="903">
        <f t="shared" si="7"/>
        <v>4.4604681827668191E-2</v>
      </c>
      <c r="M25" s="903">
        <f t="shared" si="7"/>
        <v>3.7932735580817001E-2</v>
      </c>
      <c r="N25" s="919">
        <f t="shared" si="7"/>
        <v>3.8000214975654201E-2</v>
      </c>
    </row>
    <row r="26" spans="2:21" s="122" customFormat="1" ht="15.75" outlineLevel="1" x14ac:dyDescent="0.25">
      <c r="C26" s="920" t="s">
        <v>287</v>
      </c>
      <c r="D26" s="921"/>
      <c r="E26" s="922">
        <v>0.06</v>
      </c>
      <c r="F26" s="923">
        <f t="shared" ref="F26:N29" si="8">+E26</f>
        <v>0.06</v>
      </c>
      <c r="G26" s="923">
        <f t="shared" si="8"/>
        <v>0.06</v>
      </c>
      <c r="H26" s="923">
        <f t="shared" si="8"/>
        <v>0.06</v>
      </c>
      <c r="I26" s="923">
        <f t="shared" si="8"/>
        <v>0.06</v>
      </c>
      <c r="J26" s="923">
        <f>+J24</f>
        <v>0.04</v>
      </c>
      <c r="K26" s="923">
        <f t="shared" si="8"/>
        <v>0.04</v>
      </c>
      <c r="L26" s="923">
        <f t="shared" si="8"/>
        <v>0.04</v>
      </c>
      <c r="M26" s="923">
        <f t="shared" si="8"/>
        <v>0.04</v>
      </c>
      <c r="N26" s="924">
        <f t="shared" si="8"/>
        <v>0.04</v>
      </c>
    </row>
    <row r="27" spans="2:21" s="122" customFormat="1" ht="15.75" outlineLevel="1" x14ac:dyDescent="0.25">
      <c r="C27" s="925" t="s">
        <v>1162</v>
      </c>
      <c r="D27" s="926"/>
      <c r="E27" s="927">
        <f>+E22+0.02</f>
        <v>0.1</v>
      </c>
      <c r="F27" s="928">
        <f t="shared" ref="F27:N27" si="9">+F22+0.02</f>
        <v>9.0000000000000011E-2</v>
      </c>
      <c r="G27" s="928">
        <f t="shared" si="9"/>
        <v>0.08</v>
      </c>
      <c r="H27" s="928">
        <f t="shared" si="9"/>
        <v>0.08</v>
      </c>
      <c r="I27" s="928">
        <f t="shared" si="9"/>
        <v>0.08</v>
      </c>
      <c r="J27" s="928">
        <f t="shared" si="9"/>
        <v>7.0000000000000007E-2</v>
      </c>
      <c r="K27" s="928">
        <f t="shared" si="9"/>
        <v>0.06</v>
      </c>
      <c r="L27" s="928">
        <f t="shared" si="9"/>
        <v>0.06</v>
      </c>
      <c r="M27" s="928">
        <f t="shared" si="9"/>
        <v>0.06</v>
      </c>
      <c r="N27" s="929">
        <f t="shared" si="9"/>
        <v>0.06</v>
      </c>
    </row>
    <row r="28" spans="2:21" s="122" customFormat="1" ht="15.75" outlineLevel="1" x14ac:dyDescent="0.25">
      <c r="C28" s="925" t="s">
        <v>1164</v>
      </c>
      <c r="D28" s="926"/>
      <c r="E28" s="927">
        <v>0.5</v>
      </c>
      <c r="F28" s="928">
        <f t="shared" si="8"/>
        <v>0.5</v>
      </c>
      <c r="G28" s="928">
        <f t="shared" si="8"/>
        <v>0.5</v>
      </c>
      <c r="H28" s="928">
        <f t="shared" si="8"/>
        <v>0.5</v>
      </c>
      <c r="I28" s="928">
        <f t="shared" si="8"/>
        <v>0.5</v>
      </c>
      <c r="J28" s="928">
        <f t="shared" si="8"/>
        <v>0.5</v>
      </c>
      <c r="K28" s="928">
        <f t="shared" si="8"/>
        <v>0.5</v>
      </c>
      <c r="L28" s="928">
        <f t="shared" si="8"/>
        <v>0.5</v>
      </c>
      <c r="M28" s="928">
        <f t="shared" si="8"/>
        <v>0.5</v>
      </c>
      <c r="N28" s="929">
        <f t="shared" si="8"/>
        <v>0.5</v>
      </c>
    </row>
    <row r="29" spans="2:21" s="122" customFormat="1" ht="15.75" outlineLevel="1" x14ac:dyDescent="0.25">
      <c r="C29" s="930" t="s">
        <v>1165</v>
      </c>
      <c r="D29" s="931"/>
      <c r="E29" s="932">
        <v>0.7</v>
      </c>
      <c r="F29" s="933">
        <f t="shared" si="8"/>
        <v>0.7</v>
      </c>
      <c r="G29" s="933">
        <f t="shared" si="8"/>
        <v>0.7</v>
      </c>
      <c r="H29" s="933">
        <f t="shared" si="8"/>
        <v>0.7</v>
      </c>
      <c r="I29" s="933">
        <f t="shared" si="8"/>
        <v>0.7</v>
      </c>
      <c r="J29" s="933">
        <f t="shared" si="8"/>
        <v>0.7</v>
      </c>
      <c r="K29" s="933">
        <f t="shared" si="8"/>
        <v>0.7</v>
      </c>
      <c r="L29" s="933">
        <f t="shared" si="8"/>
        <v>0.7</v>
      </c>
      <c r="M29" s="933">
        <f t="shared" si="8"/>
        <v>0.7</v>
      </c>
      <c r="N29" s="934">
        <f t="shared" si="8"/>
        <v>0.7</v>
      </c>
    </row>
    <row r="30" spans="2:21" s="122" customFormat="1" ht="15.75" outlineLevel="1" x14ac:dyDescent="0.25"/>
    <row r="31" spans="2:21" s="122" customFormat="1" ht="15" customHeight="1" outlineLevel="1" thickBot="1" x14ac:dyDescent="0.3">
      <c r="C31" s="509" t="s">
        <v>1166</v>
      </c>
      <c r="D31" s="515">
        <f>+E31-1</f>
        <v>2015</v>
      </c>
      <c r="E31" s="511">
        <f t="shared" ref="E31:N31" si="10">+E21</f>
        <v>2016</v>
      </c>
      <c r="F31" s="512">
        <f t="shared" si="10"/>
        <v>2017</v>
      </c>
      <c r="G31" s="512">
        <f t="shared" si="10"/>
        <v>2018</v>
      </c>
      <c r="H31" s="512">
        <f t="shared" si="10"/>
        <v>2019</v>
      </c>
      <c r="I31" s="512">
        <f t="shared" si="10"/>
        <v>2020</v>
      </c>
      <c r="J31" s="512">
        <f t="shared" si="10"/>
        <v>2021</v>
      </c>
      <c r="K31" s="512">
        <f t="shared" si="10"/>
        <v>2022</v>
      </c>
      <c r="L31" s="512">
        <f t="shared" si="10"/>
        <v>2023</v>
      </c>
      <c r="M31" s="512">
        <f t="shared" si="10"/>
        <v>2024</v>
      </c>
      <c r="N31" s="513">
        <f t="shared" si="10"/>
        <v>2025</v>
      </c>
      <c r="P31" s="983" t="s">
        <v>873</v>
      </c>
    </row>
    <row r="32" spans="2:21" s="122" customFormat="1" ht="15" customHeight="1" outlineLevel="1" x14ac:dyDescent="0.25">
      <c r="C32" s="935" t="s">
        <v>1166</v>
      </c>
      <c r="D32" s="936">
        <v>100</v>
      </c>
      <c r="E32" s="937">
        <f t="shared" ref="E32:N32" si="11">D32*(1+E23)</f>
        <v>104.87715392143551</v>
      </c>
      <c r="F32" s="938">
        <f t="shared" si="11"/>
        <v>116.55847715468379</v>
      </c>
      <c r="G32" s="938">
        <f t="shared" si="11"/>
        <v>128.35537416869892</v>
      </c>
      <c r="H32" s="938">
        <f t="shared" si="11"/>
        <v>141.37373461985524</v>
      </c>
      <c r="I32" s="938">
        <f t="shared" si="11"/>
        <v>155.74252309940385</v>
      </c>
      <c r="J32" s="938">
        <f t="shared" si="11"/>
        <v>171.22422987440748</v>
      </c>
      <c r="K32" s="938">
        <f t="shared" si="11"/>
        <v>185.3653604571011</v>
      </c>
      <c r="L32" s="938">
        <f t="shared" si="11"/>
        <v>199.44252908362597</v>
      </c>
      <c r="M32" s="938">
        <f t="shared" si="11"/>
        <v>213.21816769701229</v>
      </c>
      <c r="N32" s="939">
        <f t="shared" si="11"/>
        <v>227.9601190234003</v>
      </c>
      <c r="P32" s="1532">
        <f>+N32/D32</f>
        <v>2.2796011902340028</v>
      </c>
    </row>
    <row r="33" spans="3:16" s="122" customFormat="1" ht="15" customHeight="1" outlineLevel="1" x14ac:dyDescent="0.25">
      <c r="D33" s="122" t="s">
        <v>1804</v>
      </c>
      <c r="P33" s="984"/>
    </row>
    <row r="34" spans="3:16" s="122" customFormat="1" ht="16.5" outlineLevel="1" thickBot="1" x14ac:dyDescent="0.3">
      <c r="C34" s="509" t="s">
        <v>901</v>
      </c>
      <c r="D34" s="515" t="s">
        <v>288</v>
      </c>
      <c r="E34" s="511">
        <f t="shared" ref="E34:N34" si="12">E21</f>
        <v>2016</v>
      </c>
      <c r="F34" s="512">
        <f t="shared" si="12"/>
        <v>2017</v>
      </c>
      <c r="G34" s="512">
        <f t="shared" si="12"/>
        <v>2018</v>
      </c>
      <c r="H34" s="512">
        <f t="shared" si="12"/>
        <v>2019</v>
      </c>
      <c r="I34" s="512">
        <f t="shared" si="12"/>
        <v>2020</v>
      </c>
      <c r="J34" s="512">
        <f t="shared" si="12"/>
        <v>2021</v>
      </c>
      <c r="K34" s="512">
        <f t="shared" si="12"/>
        <v>2022</v>
      </c>
      <c r="L34" s="512">
        <f t="shared" si="12"/>
        <v>2023</v>
      </c>
      <c r="M34" s="512">
        <f t="shared" si="12"/>
        <v>2024</v>
      </c>
      <c r="N34" s="513">
        <f t="shared" si="12"/>
        <v>2025</v>
      </c>
      <c r="P34" s="984"/>
    </row>
    <row r="35" spans="3:16" s="122" customFormat="1" ht="15.75" outlineLevel="1" x14ac:dyDescent="0.25">
      <c r="C35" s="874" t="s">
        <v>289</v>
      </c>
      <c r="D35" s="940">
        <v>64</v>
      </c>
      <c r="E35" s="941">
        <f t="shared" ref="E35:N35" si="13">D35*(1+E26)*(1+E25)</f>
        <v>66.494075906824165</v>
      </c>
      <c r="F35" s="942">
        <f t="shared" si="13"/>
        <v>73.900253179193925</v>
      </c>
      <c r="G35" s="942">
        <f t="shared" si="13"/>
        <v>82.154751211578173</v>
      </c>
      <c r="H35" s="942">
        <f t="shared" si="13"/>
        <v>91.349026760489949</v>
      </c>
      <c r="I35" s="942">
        <f t="shared" si="13"/>
        <v>101.59187277962532</v>
      </c>
      <c r="J35" s="942">
        <f t="shared" si="13"/>
        <v>111.69069199609436</v>
      </c>
      <c r="K35" s="942">
        <f t="shared" si="13"/>
        <v>122.0889770110729</v>
      </c>
      <c r="L35" s="942">
        <f t="shared" si="13"/>
        <v>132.63610566473</v>
      </c>
      <c r="M35" s="942">
        <f t="shared" si="13"/>
        <v>143.17405022895468</v>
      </c>
      <c r="N35" s="943">
        <f t="shared" si="13"/>
        <v>154.55928271325368</v>
      </c>
      <c r="P35" s="984">
        <f t="shared" ref="P35:P42" si="14">+N35/D35</f>
        <v>2.4149887923945887</v>
      </c>
    </row>
    <row r="36" spans="3:16" s="122" customFormat="1" ht="15.75" outlineLevel="1" x14ac:dyDescent="0.25">
      <c r="C36" s="874" t="s">
        <v>290</v>
      </c>
      <c r="D36" s="940">
        <v>10</v>
      </c>
      <c r="E36" s="941">
        <f>D36*(1+E23)*(1+E27)/(1+E23)</f>
        <v>11</v>
      </c>
      <c r="F36" s="942">
        <f t="shared" ref="F36:N36" si="15">E36*(1+F23)*(1+F27)/(1+F23)</f>
        <v>11.99</v>
      </c>
      <c r="G36" s="942">
        <f t="shared" si="15"/>
        <v>12.949200000000001</v>
      </c>
      <c r="H36" s="942">
        <f t="shared" si="15"/>
        <v>13.985136000000002</v>
      </c>
      <c r="I36" s="942">
        <f t="shared" si="15"/>
        <v>15.103946880000002</v>
      </c>
      <c r="J36" s="942">
        <f t="shared" si="15"/>
        <v>16.161223161600002</v>
      </c>
      <c r="K36" s="942">
        <f t="shared" si="15"/>
        <v>17.130896551296004</v>
      </c>
      <c r="L36" s="942">
        <f t="shared" si="15"/>
        <v>18.158750344373765</v>
      </c>
      <c r="M36" s="942">
        <f t="shared" si="15"/>
        <v>19.248275365036193</v>
      </c>
      <c r="N36" s="943">
        <f t="shared" si="15"/>
        <v>20.403171886938367</v>
      </c>
      <c r="P36" s="984">
        <f t="shared" si="14"/>
        <v>2.0403171886938365</v>
      </c>
    </row>
    <row r="37" spans="3:16" s="122" customFormat="1" ht="16.5" outlineLevel="1" thickBot="1" x14ac:dyDescent="0.3">
      <c r="C37" s="944" t="s">
        <v>291</v>
      </c>
      <c r="D37" s="945">
        <f>D36+D35</f>
        <v>74</v>
      </c>
      <c r="E37" s="946">
        <f>E36+E35</f>
        <v>77.494075906824165</v>
      </c>
      <c r="F37" s="947">
        <f t="shared" ref="F37:N37" si="16">F36+F35</f>
        <v>85.89025317919392</v>
      </c>
      <c r="G37" s="947">
        <f t="shared" si="16"/>
        <v>95.103951211578178</v>
      </c>
      <c r="H37" s="947">
        <f t="shared" si="16"/>
        <v>105.33416276048995</v>
      </c>
      <c r="I37" s="947">
        <f t="shared" si="16"/>
        <v>116.69581965962533</v>
      </c>
      <c r="J37" s="947">
        <f t="shared" si="16"/>
        <v>127.85191515769436</v>
      </c>
      <c r="K37" s="947">
        <f t="shared" si="16"/>
        <v>139.21987356236889</v>
      </c>
      <c r="L37" s="947">
        <f t="shared" si="16"/>
        <v>150.79485600910377</v>
      </c>
      <c r="M37" s="947">
        <f t="shared" si="16"/>
        <v>162.42232559399088</v>
      </c>
      <c r="N37" s="948">
        <f t="shared" si="16"/>
        <v>174.96245460019205</v>
      </c>
      <c r="P37" s="984">
        <f t="shared" si="14"/>
        <v>2.3643574945971899</v>
      </c>
    </row>
    <row r="38" spans="3:16" s="122" customFormat="1" ht="15.75" outlineLevel="1" x14ac:dyDescent="0.25">
      <c r="C38" s="874" t="s">
        <v>292</v>
      </c>
      <c r="D38" s="940">
        <v>10</v>
      </c>
      <c r="E38" s="941">
        <f>D38*(1+E23)</f>
        <v>10.487715392143551</v>
      </c>
      <c r="F38" s="949">
        <f t="shared" ref="F38:N38" si="17">E38*(1+F23)</f>
        <v>11.655847715468379</v>
      </c>
      <c r="G38" s="949">
        <f t="shared" si="17"/>
        <v>12.835537416869892</v>
      </c>
      <c r="H38" s="949">
        <f t="shared" si="17"/>
        <v>14.137373461985526</v>
      </c>
      <c r="I38" s="949">
        <f t="shared" si="17"/>
        <v>15.574252309940388</v>
      </c>
      <c r="J38" s="949">
        <f t="shared" si="17"/>
        <v>17.12242298744075</v>
      </c>
      <c r="K38" s="949">
        <f t="shared" si="17"/>
        <v>18.536536045710111</v>
      </c>
      <c r="L38" s="949">
        <f t="shared" si="17"/>
        <v>19.944252908362596</v>
      </c>
      <c r="M38" s="949">
        <f t="shared" si="17"/>
        <v>21.321816769701229</v>
      </c>
      <c r="N38" s="950">
        <f t="shared" si="17"/>
        <v>22.796011902340027</v>
      </c>
      <c r="P38" s="984">
        <f t="shared" si="14"/>
        <v>2.2796011902340028</v>
      </c>
    </row>
    <row r="39" spans="3:16" s="122" customFormat="1" ht="15.75" outlineLevel="1" x14ac:dyDescent="0.25">
      <c r="C39" s="874" t="s">
        <v>293</v>
      </c>
      <c r="D39" s="940">
        <v>11</v>
      </c>
      <c r="E39" s="941">
        <f>D39*(1+E23*E28)</f>
        <v>11.268243465678953</v>
      </c>
      <c r="F39" s="942">
        <f t="shared" ref="F39:N39" si="18">E39*(1+F23*F28)</f>
        <v>11.895777629564337</v>
      </c>
      <c r="G39" s="942">
        <f t="shared" si="18"/>
        <v>12.497764147504858</v>
      </c>
      <c r="H39" s="942">
        <f t="shared" si="18"/>
        <v>13.131552952841197</v>
      </c>
      <c r="I39" s="942">
        <f t="shared" si="18"/>
        <v>13.798878136315793</v>
      </c>
      <c r="J39" s="942">
        <f t="shared" si="18"/>
        <v>14.484722249018713</v>
      </c>
      <c r="K39" s="942">
        <f t="shared" si="18"/>
        <v>15.082857071782007</v>
      </c>
      <c r="L39" s="942">
        <f t="shared" si="18"/>
        <v>15.65557443883934</v>
      </c>
      <c r="M39" s="942">
        <f t="shared" si="18"/>
        <v>16.196245319682387</v>
      </c>
      <c r="N39" s="943">
        <f t="shared" si="18"/>
        <v>16.756151313509999</v>
      </c>
      <c r="P39" s="984">
        <f t="shared" si="14"/>
        <v>1.5232864830463635</v>
      </c>
    </row>
    <row r="40" spans="3:16" s="122" customFormat="1" ht="15.75" outlineLevel="1" x14ac:dyDescent="0.25">
      <c r="C40" s="874" t="s">
        <v>294</v>
      </c>
      <c r="D40" s="940">
        <v>5</v>
      </c>
      <c r="E40" s="941">
        <f>D40*(1+E23*E29)</f>
        <v>5.1707003872502426</v>
      </c>
      <c r="F40" s="942">
        <f t="shared" ref="F40:N40" si="19">E40*(1+F23*F29)</f>
        <v>5.5738428659992287</v>
      </c>
      <c r="G40" s="942">
        <f t="shared" si="19"/>
        <v>5.9687333648057965</v>
      </c>
      <c r="H40" s="942">
        <f t="shared" si="19"/>
        <v>6.3924957979582349</v>
      </c>
      <c r="I40" s="942">
        <f t="shared" si="19"/>
        <v>6.8472952283968187</v>
      </c>
      <c r="J40" s="942">
        <f t="shared" si="19"/>
        <v>7.3237577279941988</v>
      </c>
      <c r="K40" s="942">
        <f t="shared" si="19"/>
        <v>7.7471577930695688</v>
      </c>
      <c r="L40" s="942">
        <f t="shared" si="19"/>
        <v>8.1589965123010568</v>
      </c>
      <c r="M40" s="942">
        <f t="shared" si="19"/>
        <v>8.5534799333769502</v>
      </c>
      <c r="N40" s="943">
        <f t="shared" si="19"/>
        <v>8.9674525809600798</v>
      </c>
      <c r="P40" s="984">
        <f t="shared" si="14"/>
        <v>1.793490516192016</v>
      </c>
    </row>
    <row r="41" spans="3:16" s="122" customFormat="1" ht="15.75" outlineLevel="1" x14ac:dyDescent="0.25">
      <c r="C41" s="951" t="s">
        <v>295</v>
      </c>
      <c r="D41" s="952">
        <f>D38+D39+D40</f>
        <v>26</v>
      </c>
      <c r="E41" s="953">
        <f t="shared" ref="E41:N41" si="20">E38+E39+E40</f>
        <v>26.926659245072749</v>
      </c>
      <c r="F41" s="954">
        <f t="shared" si="20"/>
        <v>29.125468211031947</v>
      </c>
      <c r="G41" s="954">
        <f t="shared" si="20"/>
        <v>31.302034929180547</v>
      </c>
      <c r="H41" s="954">
        <f t="shared" si="20"/>
        <v>33.661422212784956</v>
      </c>
      <c r="I41" s="954">
        <f t="shared" si="20"/>
        <v>36.220425674653001</v>
      </c>
      <c r="J41" s="954">
        <f t="shared" si="20"/>
        <v>38.930902964453665</v>
      </c>
      <c r="K41" s="954">
        <f t="shared" si="20"/>
        <v>41.366550910561685</v>
      </c>
      <c r="L41" s="954">
        <f t="shared" si="20"/>
        <v>43.758823859502996</v>
      </c>
      <c r="M41" s="954">
        <f t="shared" si="20"/>
        <v>46.071542022760568</v>
      </c>
      <c r="N41" s="955">
        <f t="shared" si="20"/>
        <v>48.519615796810108</v>
      </c>
      <c r="P41" s="984">
        <f t="shared" si="14"/>
        <v>1.866139069108081</v>
      </c>
    </row>
    <row r="42" spans="3:16" s="122" customFormat="1" ht="15.75" outlineLevel="1" x14ac:dyDescent="0.25">
      <c r="C42" s="907" t="s">
        <v>1167</v>
      </c>
      <c r="D42" s="956">
        <f>D41+D37</f>
        <v>100</v>
      </c>
      <c r="E42" s="957">
        <f t="shared" ref="E42:N42" si="21">E41+E37</f>
        <v>104.42073515189691</v>
      </c>
      <c r="F42" s="958">
        <f t="shared" si="21"/>
        <v>115.01572139022586</v>
      </c>
      <c r="G42" s="958">
        <f t="shared" si="21"/>
        <v>126.40598614075873</v>
      </c>
      <c r="H42" s="958">
        <f t="shared" si="21"/>
        <v>138.9955849732749</v>
      </c>
      <c r="I42" s="958">
        <f t="shared" si="21"/>
        <v>152.91624533427833</v>
      </c>
      <c r="J42" s="958">
        <f t="shared" si="21"/>
        <v>166.78281812214803</v>
      </c>
      <c r="K42" s="958">
        <f t="shared" si="21"/>
        <v>180.58642447293056</v>
      </c>
      <c r="L42" s="958">
        <f t="shared" si="21"/>
        <v>194.55367986860676</v>
      </c>
      <c r="M42" s="958">
        <f t="shared" si="21"/>
        <v>208.49386761675146</v>
      </c>
      <c r="N42" s="959">
        <f t="shared" si="21"/>
        <v>223.48207039700216</v>
      </c>
      <c r="P42" s="985">
        <f t="shared" si="14"/>
        <v>2.2348207039700214</v>
      </c>
    </row>
    <row r="43" spans="3:16" s="122" customFormat="1" ht="11.25" customHeight="1" outlineLevel="1" x14ac:dyDescent="0.25"/>
    <row r="44" spans="3:16" s="122" customFormat="1" ht="16.5" outlineLevel="1" thickBot="1" x14ac:dyDescent="0.3">
      <c r="C44" s="509" t="s">
        <v>901</v>
      </c>
      <c r="D44" s="515" t="s">
        <v>288</v>
      </c>
      <c r="E44" s="511">
        <f>E34</f>
        <v>2016</v>
      </c>
      <c r="F44" s="512">
        <f t="shared" ref="F44:N44" si="22">F34</f>
        <v>2017</v>
      </c>
      <c r="G44" s="512">
        <f t="shared" si="22"/>
        <v>2018</v>
      </c>
      <c r="H44" s="512">
        <f t="shared" si="22"/>
        <v>2019</v>
      </c>
      <c r="I44" s="512">
        <f t="shared" si="22"/>
        <v>2020</v>
      </c>
      <c r="J44" s="512">
        <f t="shared" si="22"/>
        <v>2021</v>
      </c>
      <c r="K44" s="512">
        <f t="shared" si="22"/>
        <v>2022</v>
      </c>
      <c r="L44" s="512">
        <f t="shared" si="22"/>
        <v>2023</v>
      </c>
      <c r="M44" s="512">
        <f t="shared" si="22"/>
        <v>2024</v>
      </c>
      <c r="N44" s="513">
        <f t="shared" si="22"/>
        <v>2025</v>
      </c>
    </row>
    <row r="45" spans="3:16" s="122" customFormat="1" ht="15.75" outlineLevel="1" x14ac:dyDescent="0.25">
      <c r="C45" s="874" t="s">
        <v>289</v>
      </c>
      <c r="D45" s="960">
        <f>D35</f>
        <v>64</v>
      </c>
      <c r="E45" s="961">
        <f>E35/E42*100</f>
        <v>63.678996140084379</v>
      </c>
      <c r="F45" s="942">
        <f t="shared" ref="F45:N45" si="23">F35/F42*100</f>
        <v>64.252305933433931</v>
      </c>
      <c r="G45" s="942">
        <f t="shared" si="23"/>
        <v>64.992769503886606</v>
      </c>
      <c r="H45" s="942">
        <f t="shared" si="23"/>
        <v>65.720811763952</v>
      </c>
      <c r="I45" s="942">
        <f t="shared" si="23"/>
        <v>66.436285142591117</v>
      </c>
      <c r="J45" s="942">
        <f t="shared" si="23"/>
        <v>66.967744791489608</v>
      </c>
      <c r="K45" s="942">
        <f t="shared" si="23"/>
        <v>67.606951833399705</v>
      </c>
      <c r="L45" s="942">
        <f t="shared" si="23"/>
        <v>68.17455509158539</v>
      </c>
      <c r="M45" s="942">
        <f t="shared" si="23"/>
        <v>68.67062895688322</v>
      </c>
      <c r="N45" s="943">
        <f t="shared" si="23"/>
        <v>69.159589598704102</v>
      </c>
    </row>
    <row r="46" spans="3:16" s="122" customFormat="1" ht="15.75" outlineLevel="1" x14ac:dyDescent="0.25">
      <c r="C46" s="874" t="s">
        <v>290</v>
      </c>
      <c r="D46" s="960">
        <f t="shared" ref="D46:D52" si="24">D36</f>
        <v>10</v>
      </c>
      <c r="E46" s="941">
        <f>E36/E42*100</f>
        <v>10.534306221842543</v>
      </c>
      <c r="F46" s="942">
        <f t="shared" ref="F46:N46" si="25">F36/F42*100</f>
        <v>10.424661824552031</v>
      </c>
      <c r="G46" s="942">
        <f t="shared" si="25"/>
        <v>10.244135104155975</v>
      </c>
      <c r="H46" s="942">
        <f t="shared" si="25"/>
        <v>10.061568504272252</v>
      </c>
      <c r="I46" s="942">
        <f t="shared" si="25"/>
        <v>9.8772676813914941</v>
      </c>
      <c r="J46" s="942">
        <f t="shared" si="25"/>
        <v>9.6899808646738901</v>
      </c>
      <c r="K46" s="942">
        <f t="shared" si="25"/>
        <v>9.486259336101913</v>
      </c>
      <c r="L46" s="942">
        <f t="shared" si="25"/>
        <v>9.333542473541188</v>
      </c>
      <c r="M46" s="942">
        <f t="shared" si="25"/>
        <v>9.2320582782885108</v>
      </c>
      <c r="N46" s="943">
        <f t="shared" si="25"/>
        <v>9.1296683669940002</v>
      </c>
    </row>
    <row r="47" spans="3:16" s="122" customFormat="1" ht="16.5" outlineLevel="1" thickBot="1" x14ac:dyDescent="0.3">
      <c r="C47" s="944" t="s">
        <v>291</v>
      </c>
      <c r="D47" s="962">
        <f t="shared" si="24"/>
        <v>74</v>
      </c>
      <c r="E47" s="946">
        <f>E46+E45</f>
        <v>74.213302361926921</v>
      </c>
      <c r="F47" s="947">
        <f t="shared" ref="F47:N47" si="26">F46+F45</f>
        <v>74.676967757985963</v>
      </c>
      <c r="G47" s="947">
        <f t="shared" si="26"/>
        <v>75.236904608042579</v>
      </c>
      <c r="H47" s="947">
        <f t="shared" si="26"/>
        <v>75.782380268224244</v>
      </c>
      <c r="I47" s="947">
        <f t="shared" si="26"/>
        <v>76.313552823982604</v>
      </c>
      <c r="J47" s="947">
        <f t="shared" si="26"/>
        <v>76.657725656163493</v>
      </c>
      <c r="K47" s="947">
        <f t="shared" si="26"/>
        <v>77.093211169501615</v>
      </c>
      <c r="L47" s="947">
        <f t="shared" si="26"/>
        <v>77.508097565126576</v>
      </c>
      <c r="M47" s="947">
        <f t="shared" si="26"/>
        <v>77.902687235171726</v>
      </c>
      <c r="N47" s="948">
        <f t="shared" si="26"/>
        <v>78.289257965698098</v>
      </c>
    </row>
    <row r="48" spans="3:16" s="122" customFormat="1" ht="15.75" outlineLevel="1" x14ac:dyDescent="0.25">
      <c r="C48" s="874" t="s">
        <v>292</v>
      </c>
      <c r="D48" s="960">
        <f t="shared" si="24"/>
        <v>10</v>
      </c>
      <c r="E48" s="941">
        <f>E38/E42*100</f>
        <v>10.043709591670149</v>
      </c>
      <c r="F48" s="949">
        <f t="shared" ref="F48:N48" si="27">F38/F42*100</f>
        <v>10.134134337967907</v>
      </c>
      <c r="G48" s="949">
        <f t="shared" si="27"/>
        <v>10.154216432896575</v>
      </c>
      <c r="H48" s="949">
        <f t="shared" si="27"/>
        <v>10.171095337095606</v>
      </c>
      <c r="I48" s="949">
        <f t="shared" si="27"/>
        <v>10.184825213236648</v>
      </c>
      <c r="J48" s="949">
        <f t="shared" si="27"/>
        <v>10.266299118954009</v>
      </c>
      <c r="K48" s="949">
        <f t="shared" si="27"/>
        <v>10.264634287882858</v>
      </c>
      <c r="L48" s="949">
        <f t="shared" si="27"/>
        <v>10.251285363418514</v>
      </c>
      <c r="M48" s="949">
        <f t="shared" si="27"/>
        <v>10.226591800241575</v>
      </c>
      <c r="N48" s="950">
        <f t="shared" si="27"/>
        <v>10.200376192078547</v>
      </c>
    </row>
    <row r="49" spans="2:23" s="122" customFormat="1" ht="15.75" outlineLevel="1" x14ac:dyDescent="0.25">
      <c r="C49" s="874" t="s">
        <v>293</v>
      </c>
      <c r="D49" s="960">
        <f t="shared" si="24"/>
        <v>11</v>
      </c>
      <c r="E49" s="941">
        <f>E39/E42*100</f>
        <v>10.791193386339854</v>
      </c>
      <c r="F49" s="942">
        <f t="shared" ref="F49:N49" si="28">F39/F42*100</f>
        <v>10.342740527796447</v>
      </c>
      <c r="G49" s="942">
        <f t="shared" si="28"/>
        <v>9.8870033999719276</v>
      </c>
      <c r="H49" s="942">
        <f t="shared" si="28"/>
        <v>9.4474604753568538</v>
      </c>
      <c r="I49" s="942">
        <f t="shared" si="28"/>
        <v>9.023814380317237</v>
      </c>
      <c r="J49" s="942">
        <f t="shared" si="28"/>
        <v>8.6847808497937873</v>
      </c>
      <c r="K49" s="942">
        <f t="shared" si="28"/>
        <v>8.3521544411788753</v>
      </c>
      <c r="L49" s="942">
        <f t="shared" si="28"/>
        <v>8.0469176678706074</v>
      </c>
      <c r="M49" s="942">
        <f t="shared" si="28"/>
        <v>7.7682118447022841</v>
      </c>
      <c r="N49" s="943">
        <f t="shared" si="28"/>
        <v>7.4977609092951969</v>
      </c>
    </row>
    <row r="50" spans="2:23" s="122" customFormat="1" ht="15.75" outlineLevel="1" x14ac:dyDescent="0.25">
      <c r="C50" s="874" t="s">
        <v>294</v>
      </c>
      <c r="D50" s="960">
        <f t="shared" si="24"/>
        <v>5</v>
      </c>
      <c r="E50" s="941">
        <f>E40/E42*100</f>
        <v>4.9517946600630802</v>
      </c>
      <c r="F50" s="942">
        <f t="shared" ref="F50:N50" si="29">F40/F42*100</f>
        <v>4.8461573762496952</v>
      </c>
      <c r="G50" s="942">
        <f t="shared" si="29"/>
        <v>4.7218755590889057</v>
      </c>
      <c r="H50" s="942">
        <f t="shared" si="29"/>
        <v>4.5990639193232932</v>
      </c>
      <c r="I50" s="942">
        <f t="shared" si="29"/>
        <v>4.4778075824635106</v>
      </c>
      <c r="J50" s="942">
        <f t="shared" si="29"/>
        <v>4.3911943750887108</v>
      </c>
      <c r="K50" s="942">
        <f t="shared" si="29"/>
        <v>4.2900001014366662</v>
      </c>
      <c r="L50" s="942">
        <f t="shared" si="29"/>
        <v>4.1936994035842927</v>
      </c>
      <c r="M50" s="942">
        <f t="shared" si="29"/>
        <v>4.1025091198844068</v>
      </c>
      <c r="N50" s="943">
        <f t="shared" si="29"/>
        <v>4.0126049329281539</v>
      </c>
    </row>
    <row r="51" spans="2:23" s="122" customFormat="1" ht="16.5" outlineLevel="1" thickBot="1" x14ac:dyDescent="0.3">
      <c r="C51" s="951" t="s">
        <v>295</v>
      </c>
      <c r="D51" s="962">
        <f t="shared" si="24"/>
        <v>26</v>
      </c>
      <c r="E51" s="980">
        <f t="shared" ref="E51:N51" si="30">E48+E49+E50</f>
        <v>25.786697638073083</v>
      </c>
      <c r="F51" s="981">
        <f t="shared" si="30"/>
        <v>25.323032242014051</v>
      </c>
      <c r="G51" s="981">
        <f t="shared" si="30"/>
        <v>24.763095391957407</v>
      </c>
      <c r="H51" s="981">
        <f t="shared" si="30"/>
        <v>24.217619731775752</v>
      </c>
      <c r="I51" s="981">
        <f t="shared" si="30"/>
        <v>23.686447176017396</v>
      </c>
      <c r="J51" s="981">
        <f t="shared" si="30"/>
        <v>23.342274343836507</v>
      </c>
      <c r="K51" s="981">
        <f t="shared" si="30"/>
        <v>22.9067888304984</v>
      </c>
      <c r="L51" s="981">
        <f t="shared" si="30"/>
        <v>22.491902434873413</v>
      </c>
      <c r="M51" s="981">
        <f t="shared" si="30"/>
        <v>22.097312764828263</v>
      </c>
      <c r="N51" s="982">
        <f t="shared" si="30"/>
        <v>21.710742034301902</v>
      </c>
    </row>
    <row r="52" spans="2:23" s="122" customFormat="1" ht="15.75" outlineLevel="1" x14ac:dyDescent="0.25">
      <c r="C52" s="907" t="s">
        <v>1167</v>
      </c>
      <c r="D52" s="979">
        <f t="shared" si="24"/>
        <v>100</v>
      </c>
      <c r="E52" s="957">
        <f t="shared" ref="E52:N52" si="31">E51+E47</f>
        <v>100</v>
      </c>
      <c r="F52" s="958">
        <f t="shared" si="31"/>
        <v>100.00000000000001</v>
      </c>
      <c r="G52" s="958">
        <f t="shared" si="31"/>
        <v>99.999999999999986</v>
      </c>
      <c r="H52" s="958">
        <f t="shared" si="31"/>
        <v>100</v>
      </c>
      <c r="I52" s="958">
        <f t="shared" si="31"/>
        <v>100</v>
      </c>
      <c r="J52" s="958">
        <f t="shared" si="31"/>
        <v>100</v>
      </c>
      <c r="K52" s="958">
        <f t="shared" si="31"/>
        <v>100.00000000000001</v>
      </c>
      <c r="L52" s="958">
        <f t="shared" si="31"/>
        <v>99.999999999999986</v>
      </c>
      <c r="M52" s="958">
        <f t="shared" si="31"/>
        <v>99.999999999999986</v>
      </c>
      <c r="N52" s="959">
        <f t="shared" si="31"/>
        <v>100</v>
      </c>
    </row>
    <row r="53" spans="2:23" s="122" customFormat="1" ht="15.75" outlineLevel="1" x14ac:dyDescent="0.25"/>
    <row r="54" spans="2:23" s="122" customFormat="1" ht="16.5" outlineLevel="1" thickBot="1" x14ac:dyDescent="0.3">
      <c r="C54" s="509" t="s">
        <v>1168</v>
      </c>
      <c r="D54" s="515" t="s">
        <v>288</v>
      </c>
      <c r="E54" s="511">
        <f>E44</f>
        <v>2016</v>
      </c>
      <c r="F54" s="512">
        <f t="shared" ref="F54:N54" si="32">F44</f>
        <v>2017</v>
      </c>
      <c r="G54" s="512">
        <f t="shared" si="32"/>
        <v>2018</v>
      </c>
      <c r="H54" s="512">
        <f t="shared" si="32"/>
        <v>2019</v>
      </c>
      <c r="I54" s="512">
        <f t="shared" si="32"/>
        <v>2020</v>
      </c>
      <c r="J54" s="512">
        <f t="shared" si="32"/>
        <v>2021</v>
      </c>
      <c r="K54" s="512">
        <f t="shared" si="32"/>
        <v>2022</v>
      </c>
      <c r="L54" s="512">
        <f t="shared" si="32"/>
        <v>2023</v>
      </c>
      <c r="M54" s="512">
        <f t="shared" si="32"/>
        <v>2024</v>
      </c>
      <c r="N54" s="513">
        <f t="shared" si="32"/>
        <v>2025</v>
      </c>
    </row>
    <row r="55" spans="2:23" s="122" customFormat="1" ht="15.75" outlineLevel="1" x14ac:dyDescent="0.25">
      <c r="C55" s="963" t="s">
        <v>238</v>
      </c>
      <c r="D55" s="964">
        <v>100</v>
      </c>
      <c r="E55" s="965">
        <f>+E32</f>
        <v>104.87715392143551</v>
      </c>
      <c r="F55" s="965">
        <f t="shared" ref="F55:N55" si="33">+F32</f>
        <v>116.55847715468379</v>
      </c>
      <c r="G55" s="965">
        <f t="shared" si="33"/>
        <v>128.35537416869892</v>
      </c>
      <c r="H55" s="965">
        <f t="shared" si="33"/>
        <v>141.37373461985524</v>
      </c>
      <c r="I55" s="965">
        <f t="shared" si="33"/>
        <v>155.74252309940385</v>
      </c>
      <c r="J55" s="965">
        <f t="shared" si="33"/>
        <v>171.22422987440748</v>
      </c>
      <c r="K55" s="965">
        <f t="shared" si="33"/>
        <v>185.3653604571011</v>
      </c>
      <c r="L55" s="965">
        <f t="shared" si="33"/>
        <v>199.44252908362597</v>
      </c>
      <c r="M55" s="965">
        <f t="shared" si="33"/>
        <v>213.21816769701229</v>
      </c>
      <c r="N55" s="966">
        <f t="shared" si="33"/>
        <v>227.9601190234003</v>
      </c>
    </row>
    <row r="56" spans="2:23" s="122" customFormat="1" ht="15.75" outlineLevel="1" x14ac:dyDescent="0.25">
      <c r="C56" s="874" t="s">
        <v>296</v>
      </c>
      <c r="D56" s="967">
        <f>+K12*100</f>
        <v>67.980650990745517</v>
      </c>
      <c r="E56" s="942">
        <f>$D$56*E42/100</f>
        <v>70.985895525581753</v>
      </c>
      <c r="F56" s="942">
        <f t="shared" ref="F56:N56" si="34">$D$56*F42/100</f>
        <v>78.188436142777675</v>
      </c>
      <c r="G56" s="942">
        <f t="shared" si="34"/>
        <v>85.931612269759341</v>
      </c>
      <c r="H56" s="942">
        <f t="shared" si="34"/>
        <v>94.490103513227126</v>
      </c>
      <c r="I56" s="942">
        <f t="shared" si="34"/>
        <v>103.95345904884793</v>
      </c>
      <c r="J56" s="942">
        <f t="shared" si="34"/>
        <v>113.38004550014732</v>
      </c>
      <c r="K56" s="942">
        <f t="shared" si="34"/>
        <v>122.76382695760918</v>
      </c>
      <c r="L56" s="942">
        <f t="shared" si="34"/>
        <v>132.25885810112987</v>
      </c>
      <c r="M56" s="942">
        <f t="shared" si="34"/>
        <v>141.7354884816508</v>
      </c>
      <c r="N56" s="943">
        <f t="shared" si="34"/>
        <v>151.92456630347823</v>
      </c>
    </row>
    <row r="57" spans="2:23" s="122" customFormat="1" ht="15.75" outlineLevel="1" x14ac:dyDescent="0.25">
      <c r="C57" s="907" t="s">
        <v>1169</v>
      </c>
      <c r="D57" s="968">
        <f>D55-D56</f>
        <v>32.019349009254483</v>
      </c>
      <c r="E57" s="969">
        <f t="shared" ref="E57:L57" si="35">E55-E56</f>
        <v>33.891258395853754</v>
      </c>
      <c r="F57" s="969">
        <f t="shared" si="35"/>
        <v>38.37004101190611</v>
      </c>
      <c r="G57" s="969">
        <f t="shared" si="35"/>
        <v>42.423761898939574</v>
      </c>
      <c r="H57" s="969">
        <f t="shared" si="35"/>
        <v>46.883631106628116</v>
      </c>
      <c r="I57" s="969">
        <f t="shared" si="35"/>
        <v>51.789064050555922</v>
      </c>
      <c r="J57" s="969">
        <f t="shared" si="35"/>
        <v>57.844184374260166</v>
      </c>
      <c r="K57" s="969">
        <f t="shared" si="35"/>
        <v>62.601533499491921</v>
      </c>
      <c r="L57" s="969">
        <f t="shared" si="35"/>
        <v>67.183670982496096</v>
      </c>
      <c r="M57" s="969">
        <f>M55-M56</f>
        <v>71.482679215361486</v>
      </c>
      <c r="N57" s="970">
        <f>N55-N56</f>
        <v>76.035552719922066</v>
      </c>
    </row>
    <row r="58" spans="2:23" s="122" customFormat="1" ht="15.75" outlineLevel="1" x14ac:dyDescent="0.25">
      <c r="C58" s="907" t="s">
        <v>1168</v>
      </c>
      <c r="D58" s="968">
        <f>(D57/D55)*100</f>
        <v>32.019349009254483</v>
      </c>
      <c r="E58" s="969">
        <f t="shared" ref="E58:L58" si="36">(E57/E55)*100</f>
        <v>32.315196521486484</v>
      </c>
      <c r="F58" s="969">
        <f t="shared" si="36"/>
        <v>32.919133767495559</v>
      </c>
      <c r="G58" s="969">
        <f t="shared" si="36"/>
        <v>33.051800264460717</v>
      </c>
      <c r="H58" s="969">
        <f t="shared" si="36"/>
        <v>33.162900614244322</v>
      </c>
      <c r="I58" s="969">
        <f t="shared" si="36"/>
        <v>33.253001826290664</v>
      </c>
      <c r="J58" s="969">
        <f t="shared" si="36"/>
        <v>33.782709618077256</v>
      </c>
      <c r="K58" s="969">
        <f t="shared" si="36"/>
        <v>33.771969771007846</v>
      </c>
      <c r="L58" s="969">
        <f t="shared" si="36"/>
        <v>33.685729563891599</v>
      </c>
      <c r="M58" s="969">
        <f>(M57/M55)*100</f>
        <v>33.525604308231344</v>
      </c>
      <c r="N58" s="970">
        <f>(N57/N55)*100</f>
        <v>33.35476093172111</v>
      </c>
    </row>
    <row r="59" spans="2:23" s="122" customFormat="1" ht="15.75" outlineLevel="1" x14ac:dyDescent="0.25"/>
    <row r="60" spans="2:23" s="122" customFormat="1" ht="16.5" outlineLevel="1" thickBot="1" x14ac:dyDescent="0.3">
      <c r="C60" s="509" t="s">
        <v>296</v>
      </c>
      <c r="D60" s="515">
        <f>+E60-1</f>
        <v>2015</v>
      </c>
      <c r="E60" s="511">
        <f>E54</f>
        <v>2016</v>
      </c>
      <c r="F60" s="512">
        <f t="shared" ref="F60:N60" si="37">F54</f>
        <v>2017</v>
      </c>
      <c r="G60" s="512">
        <f t="shared" si="37"/>
        <v>2018</v>
      </c>
      <c r="H60" s="512">
        <f t="shared" si="37"/>
        <v>2019</v>
      </c>
      <c r="I60" s="512">
        <f t="shared" si="37"/>
        <v>2020</v>
      </c>
      <c r="J60" s="512">
        <f t="shared" si="37"/>
        <v>2021</v>
      </c>
      <c r="K60" s="512">
        <f t="shared" si="37"/>
        <v>2022</v>
      </c>
      <c r="L60" s="512">
        <f t="shared" si="37"/>
        <v>2023</v>
      </c>
      <c r="M60" s="512">
        <f t="shared" si="37"/>
        <v>2024</v>
      </c>
      <c r="N60" s="513">
        <f t="shared" si="37"/>
        <v>2025</v>
      </c>
    </row>
    <row r="61" spans="2:23" s="122" customFormat="1" ht="15.75" outlineLevel="1" x14ac:dyDescent="0.25">
      <c r="C61" s="935" t="s">
        <v>300</v>
      </c>
      <c r="D61" s="971">
        <f>+K12</f>
        <v>0.67980650990745517</v>
      </c>
      <c r="E61" s="972">
        <f>+(100-E58)/100</f>
        <v>0.67684803478513511</v>
      </c>
      <c r="F61" s="973">
        <f t="shared" ref="F61:N61" si="38">+(100-F58)/100</f>
        <v>0.67080866232504432</v>
      </c>
      <c r="G61" s="973">
        <f t="shared" si="38"/>
        <v>0.66948199735539271</v>
      </c>
      <c r="H61" s="973">
        <f t="shared" si="38"/>
        <v>0.66837099385755683</v>
      </c>
      <c r="I61" s="973">
        <f t="shared" si="38"/>
        <v>0.66746998173709327</v>
      </c>
      <c r="J61" s="973">
        <f t="shared" si="38"/>
        <v>0.66217290381922733</v>
      </c>
      <c r="K61" s="973">
        <f t="shared" si="38"/>
        <v>0.66228030228992152</v>
      </c>
      <c r="L61" s="973">
        <f t="shared" si="38"/>
        <v>0.66314270436108402</v>
      </c>
      <c r="M61" s="973">
        <f t="shared" si="38"/>
        <v>0.66474395691768651</v>
      </c>
      <c r="N61" s="974">
        <f t="shared" si="38"/>
        <v>0.66645239068278894</v>
      </c>
    </row>
    <row r="62" spans="2:23" s="122" customFormat="1" ht="16.5" outlineLevel="1" thickBot="1" x14ac:dyDescent="0.3">
      <c r="C62" s="888" t="s">
        <v>296</v>
      </c>
      <c r="D62" s="976">
        <f>+K11</f>
        <v>9630.2070000000003</v>
      </c>
      <c r="E62" s="977">
        <f t="shared" ref="E62:N62" si="39">+E61*L10</f>
        <v>10753.718604228448</v>
      </c>
      <c r="F62" s="977">
        <f t="shared" si="39"/>
        <v>11844.838107044867</v>
      </c>
      <c r="G62" s="977">
        <f t="shared" si="39"/>
        <v>13017.858980501796</v>
      </c>
      <c r="H62" s="977">
        <f t="shared" si="39"/>
        <v>14314.392690861741</v>
      </c>
      <c r="I62" s="977">
        <f t="shared" si="39"/>
        <v>15748.005125111571</v>
      </c>
      <c r="J62" s="977">
        <f t="shared" si="39"/>
        <v>17176.047376958264</v>
      </c>
      <c r="K62" s="977">
        <f t="shared" si="39"/>
        <v>18597.605060917547</v>
      </c>
      <c r="L62" s="977">
        <f t="shared" si="39"/>
        <v>20036.016062142571</v>
      </c>
      <c r="M62" s="977">
        <f t="shared" si="39"/>
        <v>21471.639514856197</v>
      </c>
      <c r="N62" s="978">
        <f t="shared" si="39"/>
        <v>23015.192285744753</v>
      </c>
    </row>
    <row r="63" spans="2:23" s="319" customFormat="1" ht="19.5" thickBot="1" x14ac:dyDescent="0.35">
      <c r="B63" s="1280" t="s">
        <v>282</v>
      </c>
      <c r="C63" s="1281" t="s">
        <v>1340</v>
      </c>
      <c r="D63" s="1282"/>
      <c r="E63" s="1282"/>
      <c r="F63" s="1282"/>
      <c r="G63" s="1283"/>
      <c r="H63" s="1284"/>
      <c r="I63" s="1285"/>
      <c r="J63" s="1285"/>
      <c r="K63" s="1285"/>
      <c r="L63" s="1286"/>
      <c r="M63" s="1286"/>
      <c r="N63" s="1286"/>
      <c r="O63" s="1286"/>
      <c r="P63" s="1286"/>
      <c r="Q63" s="1286"/>
      <c r="R63" s="1286"/>
      <c r="S63" s="1286"/>
      <c r="T63" s="1286"/>
      <c r="U63" s="1287"/>
      <c r="W63" s="54"/>
    </row>
    <row r="64" spans="2:23" ht="6" customHeight="1" x14ac:dyDescent="0.25">
      <c r="D64" s="55"/>
      <c r="E64" s="55"/>
      <c r="F64" s="55"/>
      <c r="H64" s="55"/>
      <c r="I64" s="55"/>
      <c r="J64" s="55"/>
      <c r="K64" s="55"/>
      <c r="L64" s="55"/>
      <c r="M64" s="55"/>
      <c r="N64" s="55"/>
      <c r="O64" s="55"/>
      <c r="P64" s="55"/>
      <c r="Q64" s="55"/>
      <c r="R64" s="55"/>
      <c r="W64" s="54"/>
    </row>
    <row r="65" spans="2:23" ht="15.75" outlineLevel="1" thickBot="1" x14ac:dyDescent="0.3">
      <c r="C65" s="56"/>
      <c r="D65" s="850" t="str">
        <f>+OMali!C3</f>
        <v>2008/12</v>
      </c>
      <c r="E65" s="851" t="str">
        <f>+OMali!D3</f>
        <v>2009/12</v>
      </c>
      <c r="F65" s="851" t="str">
        <f>+OMali!E3</f>
        <v>2010/12</v>
      </c>
      <c r="G65" s="20" t="str">
        <f>+OMali!F3</f>
        <v>2011/12</v>
      </c>
      <c r="H65" s="20" t="str">
        <f>+OMali!G3</f>
        <v>2012/12</v>
      </c>
      <c r="I65" s="20" t="str">
        <f>+OMali!H3</f>
        <v>2013/12</v>
      </c>
      <c r="J65" s="20" t="str">
        <f>+OMali!I3</f>
        <v>2014/12</v>
      </c>
      <c r="K65" s="21" t="str">
        <f>+OMali!J3</f>
        <v>2015/12</v>
      </c>
      <c r="L65" s="1535">
        <f>+Web!D9+1</f>
        <v>2016</v>
      </c>
      <c r="M65" s="59">
        <f t="shared" ref="M65:U65" si="40">+L65+1</f>
        <v>2017</v>
      </c>
      <c r="N65" s="59">
        <f t="shared" si="40"/>
        <v>2018</v>
      </c>
      <c r="O65" s="59">
        <f t="shared" si="40"/>
        <v>2019</v>
      </c>
      <c r="P65" s="59">
        <f t="shared" si="40"/>
        <v>2020</v>
      </c>
      <c r="Q65" s="59">
        <f t="shared" si="40"/>
        <v>2021</v>
      </c>
      <c r="R65" s="59">
        <f t="shared" si="40"/>
        <v>2022</v>
      </c>
      <c r="S65" s="59">
        <f t="shared" si="40"/>
        <v>2023</v>
      </c>
      <c r="T65" s="59">
        <f t="shared" si="40"/>
        <v>2024</v>
      </c>
      <c r="U65" s="60">
        <f t="shared" si="40"/>
        <v>2025</v>
      </c>
      <c r="W65" s="54"/>
    </row>
    <row r="66" spans="2:23" outlineLevel="1" x14ac:dyDescent="0.25">
      <c r="C66" s="61" t="s">
        <v>238</v>
      </c>
      <c r="D66" s="852">
        <f>+Mali!C56</f>
        <v>6775.5379999999996</v>
      </c>
      <c r="E66" s="853">
        <f>+Mali!D56</f>
        <v>6591.8950000000004</v>
      </c>
      <c r="F66" s="853">
        <f>+Mali!E56</f>
        <v>6936.42</v>
      </c>
      <c r="G66" s="62">
        <f>+Mali!F56</f>
        <v>8437.2389999999996</v>
      </c>
      <c r="H66" s="62">
        <f>+Mali!G56</f>
        <v>10556.861000000001</v>
      </c>
      <c r="I66" s="62">
        <f>+Mali!H56</f>
        <v>11097.710999999999</v>
      </c>
      <c r="J66" s="62">
        <f>+Mali!I56</f>
        <v>12514.032999999999</v>
      </c>
      <c r="K66" s="63">
        <f>+Mali!J56</f>
        <v>14166.1</v>
      </c>
      <c r="L66" s="64">
        <f>+Sales!E154</f>
        <v>15887.936510951396</v>
      </c>
      <c r="M66" s="65">
        <f>+Sales!F154</f>
        <v>17657.550911746246</v>
      </c>
      <c r="N66" s="65">
        <f>+Sales!G154</f>
        <v>19444.673690891348</v>
      </c>
      <c r="O66" s="65">
        <f>+Sales!H154</f>
        <v>21416.837089600605</v>
      </c>
      <c r="P66" s="65">
        <f>+Sales!I154</f>
        <v>23593.578072421064</v>
      </c>
      <c r="Q66" s="65">
        <f>+Sales!J154</f>
        <v>25938.916071454521</v>
      </c>
      <c r="R66" s="65">
        <f>+Sales!K154</f>
        <v>28081.168950086354</v>
      </c>
      <c r="S66" s="65">
        <f>+Sales!L154</f>
        <v>30213.732173147568</v>
      </c>
      <c r="T66" s="65">
        <f>+Sales!M154</f>
        <v>32300.616337178635</v>
      </c>
      <c r="U66" s="66">
        <f>+Sales!N154</f>
        <v>34533.888102892684</v>
      </c>
      <c r="W66" s="54"/>
    </row>
    <row r="67" spans="2:23" outlineLevel="1" x14ac:dyDescent="0.25">
      <c r="C67" s="1536" t="s">
        <v>272</v>
      </c>
      <c r="D67" s="856">
        <f>+Mali!C57</f>
        <v>4905.2920000000004</v>
      </c>
      <c r="E67" s="539">
        <f>+Mali!D57</f>
        <v>4417.8919999999998</v>
      </c>
      <c r="F67" s="539">
        <f>+Mali!E57</f>
        <v>4868.473</v>
      </c>
      <c r="G67" s="80">
        <f>+Mali!F57</f>
        <v>5897.009</v>
      </c>
      <c r="H67" s="80">
        <f>+Mali!G57</f>
        <v>7503.0240000000003</v>
      </c>
      <c r="I67" s="80">
        <f>+Mali!H57</f>
        <v>7709.326</v>
      </c>
      <c r="J67" s="80">
        <f>+Mali!I57</f>
        <v>8535.2009999999991</v>
      </c>
      <c r="K67" s="1047">
        <f>+Mali!J57</f>
        <v>9630.2070000000003</v>
      </c>
      <c r="L67" s="83">
        <f>FORECAST(L66,$D$67:$K$67,$D$66:$K$66)</f>
        <v>10864.804905588837</v>
      </c>
      <c r="M67" s="84">
        <f t="shared" ref="M67:U67" si="41">FORECAST(M66,$D$67:$K$67,$D$66:$K$66)</f>
        <v>12048.092838582343</v>
      </c>
      <c r="N67" s="84">
        <f t="shared" si="41"/>
        <v>13243.088097657077</v>
      </c>
      <c r="O67" s="84">
        <f t="shared" si="41"/>
        <v>14561.814454391029</v>
      </c>
      <c r="P67" s="84">
        <f t="shared" si="41"/>
        <v>16017.335689450461</v>
      </c>
      <c r="Q67" s="84">
        <f t="shared" si="41"/>
        <v>17585.592679109279</v>
      </c>
      <c r="R67" s="84">
        <f t="shared" si="41"/>
        <v>19018.052756043027</v>
      </c>
      <c r="S67" s="84">
        <f t="shared" si="41"/>
        <v>20444.033651689351</v>
      </c>
      <c r="T67" s="84">
        <f t="shared" si="41"/>
        <v>21839.470334248021</v>
      </c>
      <c r="U67" s="85">
        <f t="shared" si="41"/>
        <v>23332.792003803581</v>
      </c>
      <c r="W67" s="54"/>
    </row>
    <row r="68" spans="2:23" outlineLevel="1" x14ac:dyDescent="0.25">
      <c r="C68" s="1536" t="s">
        <v>1185</v>
      </c>
      <c r="D68" s="1537">
        <f>+D67/D66</f>
        <v>0.72397084925211852</v>
      </c>
      <c r="E68" s="1538">
        <f t="shared" ref="E68:K68" si="42">+E67/E66</f>
        <v>0.67020060240643997</v>
      </c>
      <c r="F68" s="1538">
        <f t="shared" si="42"/>
        <v>0.70187113813754065</v>
      </c>
      <c r="G68" s="1539">
        <f t="shared" si="42"/>
        <v>0.69892639049338301</v>
      </c>
      <c r="H68" s="1539">
        <f t="shared" si="42"/>
        <v>0.71072490203290539</v>
      </c>
      <c r="I68" s="1539">
        <f t="shared" si="42"/>
        <v>0.6946771275626118</v>
      </c>
      <c r="J68" s="1539">
        <f t="shared" si="42"/>
        <v>0.68205038295807585</v>
      </c>
      <c r="K68" s="1540">
        <f t="shared" si="42"/>
        <v>0.67980650990745517</v>
      </c>
      <c r="L68" s="1541">
        <f t="shared" ref="L68" si="43">+L67/L66</f>
        <v>0.68383989941675782</v>
      </c>
      <c r="M68" s="1542">
        <f t="shared" ref="M68" si="44">+M67/M66</f>
        <v>0.6823195866062971</v>
      </c>
      <c r="N68" s="1542">
        <f t="shared" ref="N68" si="45">+N67/N66</f>
        <v>0.6810650725324674</v>
      </c>
      <c r="O68" s="1542">
        <f t="shared" ref="O68" si="46">+O67/O66</f>
        <v>0.67992366909592938</v>
      </c>
      <c r="P68" s="1542">
        <f t="shared" ref="P68" si="47">+P67/P66</f>
        <v>0.67888540009848686</v>
      </c>
      <c r="Q68" s="1542">
        <f t="shared" ref="Q68" si="48">+Q67/Q66</f>
        <v>0.67796174021558364</v>
      </c>
      <c r="R68" s="1542">
        <f t="shared" ref="R68" si="49">+R67/R66</f>
        <v>0.67725288750789503</v>
      </c>
      <c r="S68" s="1542">
        <f t="shared" ref="S68" si="50">+S67/S66</f>
        <v>0.67664708002737151</v>
      </c>
      <c r="T68" s="1542">
        <f t="shared" ref="T68" si="51">+T67/T66</f>
        <v>0.67613169068573986</v>
      </c>
      <c r="U68" s="39">
        <f t="shared" ref="U68" si="52">+U67/U66</f>
        <v>0.67564914597175463</v>
      </c>
      <c r="W68" s="54"/>
    </row>
    <row r="69" spans="2:23" ht="6.6" customHeight="1" outlineLevel="1" thickBot="1" x14ac:dyDescent="0.3">
      <c r="W69" s="54"/>
    </row>
    <row r="70" spans="2:23" s="319" customFormat="1" ht="19.5" thickBot="1" x14ac:dyDescent="0.35">
      <c r="B70" s="1280" t="s">
        <v>297</v>
      </c>
      <c r="C70" s="1281" t="s">
        <v>1339</v>
      </c>
      <c r="D70" s="1282"/>
      <c r="E70" s="1282"/>
      <c r="F70" s="1282"/>
      <c r="G70" s="1283"/>
      <c r="H70" s="1284"/>
      <c r="I70" s="1285"/>
      <c r="J70" s="1285"/>
      <c r="K70" s="1285"/>
      <c r="L70" s="1286"/>
      <c r="M70" s="1286"/>
      <c r="N70" s="1286"/>
      <c r="O70" s="1286"/>
      <c r="P70" s="1286"/>
      <c r="Q70" s="1286"/>
      <c r="R70" s="1286"/>
      <c r="S70" s="1286"/>
      <c r="T70" s="1286"/>
      <c r="U70" s="1287"/>
    </row>
    <row r="71" spans="2:23" s="319" customFormat="1" ht="5.45" customHeight="1" x14ac:dyDescent="0.3"/>
    <row r="72" spans="2:23" s="533" customFormat="1" ht="18.75" outlineLevel="1" x14ac:dyDescent="0.3">
      <c r="B72" s="1141">
        <v>1</v>
      </c>
      <c r="C72" s="1154" t="s">
        <v>895</v>
      </c>
      <c r="D72" s="1155"/>
      <c r="E72" s="1155"/>
      <c r="F72" s="1155"/>
      <c r="G72" s="1155"/>
      <c r="H72" s="1156"/>
      <c r="I72" s="1155"/>
      <c r="J72" s="1155"/>
      <c r="K72" s="1155"/>
      <c r="L72" s="1155"/>
      <c r="M72" s="1155"/>
      <c r="N72" s="1155"/>
      <c r="O72" s="1155"/>
      <c r="P72" s="1155"/>
      <c r="Q72" s="1157"/>
    </row>
    <row r="73" spans="2:23" outlineLevel="1" x14ac:dyDescent="0.25">
      <c r="C73" s="517" t="s">
        <v>896</v>
      </c>
      <c r="D73" s="1127"/>
      <c r="E73" s="1127"/>
      <c r="F73" s="1127"/>
      <c r="G73" s="1127"/>
      <c r="H73" s="1128"/>
      <c r="I73" s="1127"/>
      <c r="J73" s="1127"/>
      <c r="K73" s="1127"/>
      <c r="L73" s="1127"/>
      <c r="M73" s="1127"/>
      <c r="N73" s="1127"/>
      <c r="O73" s="1127"/>
      <c r="P73" s="1127"/>
      <c r="Q73" s="1129"/>
    </row>
    <row r="74" spans="2:23" s="7" customFormat="1" ht="15.75" outlineLevel="1" thickBot="1" x14ac:dyDescent="0.3">
      <c r="C74" s="366" t="s">
        <v>883</v>
      </c>
      <c r="D74" s="1142" t="s">
        <v>884</v>
      </c>
      <c r="E74" s="59" t="str">
        <f t="shared" ref="E74:Q74" si="53">+I9</f>
        <v>2013</v>
      </c>
      <c r="F74" s="59" t="str">
        <f t="shared" si="53"/>
        <v>2014</v>
      </c>
      <c r="G74" s="59" t="str">
        <f t="shared" si="53"/>
        <v>2015</v>
      </c>
      <c r="H74" s="58">
        <f t="shared" si="53"/>
        <v>2016</v>
      </c>
      <c r="I74" s="59">
        <f t="shared" si="53"/>
        <v>2017</v>
      </c>
      <c r="J74" s="59">
        <f t="shared" si="53"/>
        <v>2018</v>
      </c>
      <c r="K74" s="59">
        <f t="shared" si="53"/>
        <v>2019</v>
      </c>
      <c r="L74" s="59">
        <f t="shared" si="53"/>
        <v>2020</v>
      </c>
      <c r="M74" s="59">
        <f t="shared" si="53"/>
        <v>2021</v>
      </c>
      <c r="N74" s="59">
        <f t="shared" si="53"/>
        <v>2022</v>
      </c>
      <c r="O74" s="59">
        <f t="shared" si="53"/>
        <v>2023</v>
      </c>
      <c r="P74" s="59">
        <f t="shared" si="53"/>
        <v>2024</v>
      </c>
      <c r="Q74" s="60">
        <f t="shared" si="53"/>
        <v>2025</v>
      </c>
    </row>
    <row r="75" spans="2:23" outlineLevel="1" x14ac:dyDescent="0.25">
      <c r="C75" s="22" t="s">
        <v>876</v>
      </c>
      <c r="D75" s="354" t="s">
        <v>890</v>
      </c>
      <c r="E75" s="1130">
        <f>+Sales!E46</f>
        <v>100</v>
      </c>
      <c r="F75" s="1130">
        <f>+Sales!F46</f>
        <v>175</v>
      </c>
      <c r="G75" s="1130">
        <f>+Sales!G46</f>
        <v>250</v>
      </c>
      <c r="H75" s="1131">
        <f t="shared" ref="H75:Q75" si="54">+G75+75</f>
        <v>325</v>
      </c>
      <c r="I75" s="1130">
        <f t="shared" si="54"/>
        <v>400</v>
      </c>
      <c r="J75" s="1130">
        <f t="shared" si="54"/>
        <v>475</v>
      </c>
      <c r="K75" s="1130">
        <f t="shared" si="54"/>
        <v>550</v>
      </c>
      <c r="L75" s="1130">
        <f t="shared" si="54"/>
        <v>625</v>
      </c>
      <c r="M75" s="1130">
        <f t="shared" si="54"/>
        <v>700</v>
      </c>
      <c r="N75" s="1130">
        <f t="shared" si="54"/>
        <v>775</v>
      </c>
      <c r="O75" s="1130">
        <f t="shared" si="54"/>
        <v>850</v>
      </c>
      <c r="P75" s="1130">
        <f t="shared" si="54"/>
        <v>925</v>
      </c>
      <c r="Q75" s="1132">
        <f t="shared" si="54"/>
        <v>1000</v>
      </c>
    </row>
    <row r="76" spans="2:23" outlineLevel="1" x14ac:dyDescent="0.25">
      <c r="C76" s="22" t="s">
        <v>877</v>
      </c>
      <c r="D76" s="354" t="s">
        <v>890</v>
      </c>
      <c r="E76" s="1130">
        <f>+Sales!E47</f>
        <v>3000</v>
      </c>
      <c r="F76" s="1130">
        <f>+Sales!F47</f>
        <v>3030</v>
      </c>
      <c r="G76" s="1130">
        <f>+Sales!G47</f>
        <v>3060.3</v>
      </c>
      <c r="H76" s="1131">
        <f t="shared" ref="H76:Q84" si="55">+G76*1.01</f>
        <v>3090.9030000000002</v>
      </c>
      <c r="I76" s="1130">
        <f t="shared" si="55"/>
        <v>3121.8120300000005</v>
      </c>
      <c r="J76" s="1130">
        <f t="shared" si="55"/>
        <v>3153.0301503000005</v>
      </c>
      <c r="K76" s="1130">
        <f t="shared" si="55"/>
        <v>3184.5604518030004</v>
      </c>
      <c r="L76" s="1130">
        <f t="shared" si="55"/>
        <v>3216.4060563210305</v>
      </c>
      <c r="M76" s="1130">
        <f t="shared" si="55"/>
        <v>3248.5701168842406</v>
      </c>
      <c r="N76" s="1130">
        <f t="shared" si="55"/>
        <v>3281.0558180530829</v>
      </c>
      <c r="O76" s="1130">
        <f t="shared" si="55"/>
        <v>3313.8663762336137</v>
      </c>
      <c r="P76" s="1130">
        <f t="shared" si="55"/>
        <v>3347.00503999595</v>
      </c>
      <c r="Q76" s="1132">
        <f t="shared" si="55"/>
        <v>3380.4750903959098</v>
      </c>
    </row>
    <row r="77" spans="2:23" outlineLevel="1" x14ac:dyDescent="0.25">
      <c r="C77" s="22" t="s">
        <v>878</v>
      </c>
      <c r="D77" s="354" t="s">
        <v>890</v>
      </c>
      <c r="E77" s="1130">
        <f>+Sales!E48</f>
        <v>6000</v>
      </c>
      <c r="F77" s="1130">
        <f>+Sales!F48</f>
        <v>6060</v>
      </c>
      <c r="G77" s="1130">
        <f>+Sales!G48</f>
        <v>6120.6</v>
      </c>
      <c r="H77" s="1131">
        <f t="shared" ref="H77:J84" si="56">+G77*1.01</f>
        <v>6181.8060000000005</v>
      </c>
      <c r="I77" s="1130">
        <f t="shared" si="56"/>
        <v>6243.624060000001</v>
      </c>
      <c r="J77" s="1130">
        <f t="shared" si="56"/>
        <v>6306.060300600001</v>
      </c>
      <c r="K77" s="1130">
        <f t="shared" si="55"/>
        <v>6369.1209036060009</v>
      </c>
      <c r="L77" s="1130">
        <f t="shared" si="55"/>
        <v>6432.812112642061</v>
      </c>
      <c r="M77" s="1130">
        <f t="shared" si="55"/>
        <v>6497.1402337684813</v>
      </c>
      <c r="N77" s="1130">
        <f t="shared" si="55"/>
        <v>6562.1116361061659</v>
      </c>
      <c r="O77" s="1130">
        <f t="shared" si="55"/>
        <v>6627.7327524672273</v>
      </c>
      <c r="P77" s="1130">
        <f t="shared" si="55"/>
        <v>6694.0100799919001</v>
      </c>
      <c r="Q77" s="1132">
        <f t="shared" si="55"/>
        <v>6760.9501807918195</v>
      </c>
    </row>
    <row r="78" spans="2:23" outlineLevel="1" x14ac:dyDescent="0.25">
      <c r="C78" s="22" t="s">
        <v>879</v>
      </c>
      <c r="D78" s="354" t="s">
        <v>890</v>
      </c>
      <c r="E78" s="1130">
        <f>+Sales!E49</f>
        <v>12000</v>
      </c>
      <c r="F78" s="1130">
        <f>+Sales!F49</f>
        <v>12120</v>
      </c>
      <c r="G78" s="1130">
        <f>+Sales!G49</f>
        <v>12241.2</v>
      </c>
      <c r="H78" s="1131">
        <f t="shared" si="56"/>
        <v>12363.612000000001</v>
      </c>
      <c r="I78" s="1130">
        <f t="shared" si="56"/>
        <v>12487.248120000002</v>
      </c>
      <c r="J78" s="1130">
        <f t="shared" si="56"/>
        <v>12612.120601200002</v>
      </c>
      <c r="K78" s="1130">
        <f t="shared" si="55"/>
        <v>12738.241807212002</v>
      </c>
      <c r="L78" s="1130">
        <f t="shared" si="55"/>
        <v>12865.624225284122</v>
      </c>
      <c r="M78" s="1130">
        <f t="shared" si="55"/>
        <v>12994.280467536963</v>
      </c>
      <c r="N78" s="1130">
        <f t="shared" si="55"/>
        <v>13124.223272212332</v>
      </c>
      <c r="O78" s="1130">
        <f t="shared" si="55"/>
        <v>13255.465504934455</v>
      </c>
      <c r="P78" s="1130">
        <f t="shared" si="55"/>
        <v>13388.0201599838</v>
      </c>
      <c r="Q78" s="1132">
        <f t="shared" si="55"/>
        <v>13521.900361583639</v>
      </c>
    </row>
    <row r="79" spans="2:23" outlineLevel="1" x14ac:dyDescent="0.25">
      <c r="C79" s="22" t="s">
        <v>880</v>
      </c>
      <c r="D79" s="354" t="s">
        <v>890</v>
      </c>
      <c r="E79" s="1130">
        <f>+Sales!E50</f>
        <v>24000</v>
      </c>
      <c r="F79" s="1130">
        <f>+Sales!F50</f>
        <v>24240</v>
      </c>
      <c r="G79" s="1130">
        <f>+Sales!G50</f>
        <v>24482.400000000001</v>
      </c>
      <c r="H79" s="1131">
        <f t="shared" si="56"/>
        <v>24727.224000000002</v>
      </c>
      <c r="I79" s="1130">
        <f t="shared" si="56"/>
        <v>24974.496240000004</v>
      </c>
      <c r="J79" s="1130">
        <f t="shared" si="56"/>
        <v>25224.241202400004</v>
      </c>
      <c r="K79" s="1130">
        <f t="shared" si="55"/>
        <v>25476.483614424003</v>
      </c>
      <c r="L79" s="1130">
        <f t="shared" si="55"/>
        <v>25731.248450568244</v>
      </c>
      <c r="M79" s="1130">
        <f t="shared" si="55"/>
        <v>25988.560935073925</v>
      </c>
      <c r="N79" s="1130">
        <f t="shared" si="55"/>
        <v>26248.446544424663</v>
      </c>
      <c r="O79" s="1130">
        <f t="shared" si="55"/>
        <v>26510.931009868909</v>
      </c>
      <c r="P79" s="1130">
        <f t="shared" si="55"/>
        <v>26776.0403199676</v>
      </c>
      <c r="Q79" s="1132">
        <f t="shared" si="55"/>
        <v>27043.800723167278</v>
      </c>
    </row>
    <row r="80" spans="2:23" outlineLevel="1" x14ac:dyDescent="0.25">
      <c r="C80" s="22" t="s">
        <v>881</v>
      </c>
      <c r="D80" s="354" t="s">
        <v>890</v>
      </c>
      <c r="E80" s="1130">
        <f>+Sales!E51</f>
        <v>48000</v>
      </c>
      <c r="F80" s="1130">
        <f>+Sales!F51</f>
        <v>48480</v>
      </c>
      <c r="G80" s="1130">
        <f>+Sales!G51</f>
        <v>48964.800000000003</v>
      </c>
      <c r="H80" s="1131">
        <f t="shared" si="56"/>
        <v>49454.448000000004</v>
      </c>
      <c r="I80" s="1130">
        <f t="shared" si="56"/>
        <v>49948.992480000008</v>
      </c>
      <c r="J80" s="1130">
        <f t="shared" si="56"/>
        <v>50448.482404800008</v>
      </c>
      <c r="K80" s="1130">
        <f t="shared" si="55"/>
        <v>50952.967228848007</v>
      </c>
      <c r="L80" s="1130">
        <f t="shared" si="55"/>
        <v>51462.496901136488</v>
      </c>
      <c r="M80" s="1130">
        <f t="shared" si="55"/>
        <v>51977.12187014785</v>
      </c>
      <c r="N80" s="1130">
        <f t="shared" si="55"/>
        <v>52496.893088849327</v>
      </c>
      <c r="O80" s="1130">
        <f t="shared" si="55"/>
        <v>53021.862019737819</v>
      </c>
      <c r="P80" s="1130">
        <f t="shared" si="55"/>
        <v>53552.0806399352</v>
      </c>
      <c r="Q80" s="1132">
        <f t="shared" si="55"/>
        <v>54087.601446334556</v>
      </c>
    </row>
    <row r="81" spans="3:17" outlineLevel="1" x14ac:dyDescent="0.25">
      <c r="C81" s="22" t="s">
        <v>882</v>
      </c>
      <c r="D81" s="354" t="s">
        <v>890</v>
      </c>
      <c r="E81" s="1130">
        <f>+Sales!E52</f>
        <v>96000</v>
      </c>
      <c r="F81" s="1130">
        <f>+Sales!F52</f>
        <v>96960</v>
      </c>
      <c r="G81" s="1130">
        <f>+Sales!G52</f>
        <v>97929.600000000006</v>
      </c>
      <c r="H81" s="1131">
        <f t="shared" si="56"/>
        <v>98908.896000000008</v>
      </c>
      <c r="I81" s="1130">
        <f t="shared" si="56"/>
        <v>99897.984960000016</v>
      </c>
      <c r="J81" s="1130">
        <f t="shared" si="56"/>
        <v>100896.96480960002</v>
      </c>
      <c r="K81" s="1130">
        <f t="shared" si="55"/>
        <v>101905.93445769601</v>
      </c>
      <c r="L81" s="1130">
        <f t="shared" si="55"/>
        <v>102924.99380227298</v>
      </c>
      <c r="M81" s="1130">
        <f t="shared" si="55"/>
        <v>103954.2437402957</v>
      </c>
      <c r="N81" s="1130">
        <f t="shared" si="55"/>
        <v>104993.78617769865</v>
      </c>
      <c r="O81" s="1130">
        <f t="shared" si="55"/>
        <v>106043.72403947564</v>
      </c>
      <c r="P81" s="1130">
        <f t="shared" si="55"/>
        <v>107104.1612798704</v>
      </c>
      <c r="Q81" s="1132">
        <f t="shared" si="55"/>
        <v>108175.20289266911</v>
      </c>
    </row>
    <row r="82" spans="3:17" outlineLevel="1" x14ac:dyDescent="0.25">
      <c r="C82" s="22" t="s">
        <v>885</v>
      </c>
      <c r="D82" s="354" t="s">
        <v>890</v>
      </c>
      <c r="E82" s="1130">
        <f>+Sales!E53</f>
        <v>192000</v>
      </c>
      <c r="F82" s="1130">
        <f>+Sales!F53</f>
        <v>193920</v>
      </c>
      <c r="G82" s="1130">
        <f>+Sales!G53</f>
        <v>195859.20000000001</v>
      </c>
      <c r="H82" s="1131">
        <f t="shared" si="56"/>
        <v>197817.79200000002</v>
      </c>
      <c r="I82" s="1130">
        <f t="shared" si="56"/>
        <v>199795.96992000003</v>
      </c>
      <c r="J82" s="1130">
        <f t="shared" si="56"/>
        <v>201793.92961920003</v>
      </c>
      <c r="K82" s="1130">
        <f t="shared" si="55"/>
        <v>203811.86891539203</v>
      </c>
      <c r="L82" s="1130">
        <f t="shared" si="55"/>
        <v>205849.98760454595</v>
      </c>
      <c r="M82" s="1130">
        <f t="shared" si="55"/>
        <v>207908.4874805914</v>
      </c>
      <c r="N82" s="1130">
        <f t="shared" si="55"/>
        <v>209987.57235539731</v>
      </c>
      <c r="O82" s="1130">
        <f t="shared" si="55"/>
        <v>212087.44807895127</v>
      </c>
      <c r="P82" s="1130">
        <f t="shared" si="55"/>
        <v>214208.3225597408</v>
      </c>
      <c r="Q82" s="1132">
        <f t="shared" si="55"/>
        <v>216350.40578533823</v>
      </c>
    </row>
    <row r="83" spans="3:17" outlineLevel="1" x14ac:dyDescent="0.25">
      <c r="C83" s="22" t="s">
        <v>885</v>
      </c>
      <c r="D83" s="354" t="s">
        <v>890</v>
      </c>
      <c r="E83" s="1130">
        <f>+Sales!E54</f>
        <v>384000</v>
      </c>
      <c r="F83" s="1130">
        <f>+Sales!F54</f>
        <v>387840</v>
      </c>
      <c r="G83" s="1130">
        <f>+Sales!G54</f>
        <v>391718.40000000002</v>
      </c>
      <c r="H83" s="1131">
        <f t="shared" si="56"/>
        <v>395635.58400000003</v>
      </c>
      <c r="I83" s="1130">
        <f t="shared" si="56"/>
        <v>399591.93984000006</v>
      </c>
      <c r="J83" s="1130">
        <f t="shared" si="56"/>
        <v>403587.85923840007</v>
      </c>
      <c r="K83" s="1130">
        <f t="shared" si="55"/>
        <v>407623.73783078406</v>
      </c>
      <c r="L83" s="1130">
        <f t="shared" si="55"/>
        <v>411699.97520909191</v>
      </c>
      <c r="M83" s="1130">
        <f t="shared" si="55"/>
        <v>415816.9749611828</v>
      </c>
      <c r="N83" s="1130">
        <f t="shared" si="55"/>
        <v>419975.14471079462</v>
      </c>
      <c r="O83" s="1130">
        <f t="shared" si="55"/>
        <v>424174.89615790255</v>
      </c>
      <c r="P83" s="1130">
        <f t="shared" si="55"/>
        <v>428416.6451194816</v>
      </c>
      <c r="Q83" s="1132">
        <f t="shared" si="55"/>
        <v>432700.81157067645</v>
      </c>
    </row>
    <row r="84" spans="3:17" outlineLevel="1" x14ac:dyDescent="0.25">
      <c r="C84" s="29" t="s">
        <v>885</v>
      </c>
      <c r="D84" s="357" t="s">
        <v>890</v>
      </c>
      <c r="E84" s="1133">
        <f>+Sales!E55</f>
        <v>768000</v>
      </c>
      <c r="F84" s="1133">
        <f>+Sales!F55</f>
        <v>775680</v>
      </c>
      <c r="G84" s="1133">
        <f>+Sales!G55</f>
        <v>783436.80000000005</v>
      </c>
      <c r="H84" s="1134">
        <f t="shared" si="56"/>
        <v>791271.16800000006</v>
      </c>
      <c r="I84" s="1133">
        <f t="shared" si="56"/>
        <v>799183.87968000013</v>
      </c>
      <c r="J84" s="1133">
        <f t="shared" si="56"/>
        <v>807175.71847680013</v>
      </c>
      <c r="K84" s="1133">
        <f t="shared" si="55"/>
        <v>815247.47566156811</v>
      </c>
      <c r="L84" s="1133">
        <f t="shared" si="55"/>
        <v>823399.95041818381</v>
      </c>
      <c r="M84" s="1133">
        <f t="shared" si="55"/>
        <v>831633.9499223656</v>
      </c>
      <c r="N84" s="1133">
        <f t="shared" si="55"/>
        <v>839950.28942158923</v>
      </c>
      <c r="O84" s="1133">
        <f t="shared" si="55"/>
        <v>848349.7923158051</v>
      </c>
      <c r="P84" s="1133">
        <f t="shared" si="55"/>
        <v>856833.29023896321</v>
      </c>
      <c r="Q84" s="1135">
        <f t="shared" si="55"/>
        <v>865401.6231413529</v>
      </c>
    </row>
    <row r="85" spans="3:17" outlineLevel="1" x14ac:dyDescent="0.25"/>
    <row r="86" spans="3:17" outlineLevel="1" x14ac:dyDescent="0.25">
      <c r="C86" s="517" t="s">
        <v>897</v>
      </c>
      <c r="D86" s="1127"/>
      <c r="E86" s="1127"/>
      <c r="F86" s="1127"/>
      <c r="G86" s="1127"/>
      <c r="H86" s="1128"/>
      <c r="I86" s="1127"/>
      <c r="J86" s="1127"/>
      <c r="K86" s="1127"/>
      <c r="L86" s="1127"/>
      <c r="M86" s="1127"/>
      <c r="N86" s="1127"/>
      <c r="O86" s="1127"/>
      <c r="P86" s="1127"/>
      <c r="Q86" s="1129"/>
    </row>
    <row r="87" spans="3:17" ht="15.75" outlineLevel="1" thickBot="1" x14ac:dyDescent="0.3">
      <c r="C87" s="366" t="s">
        <v>883</v>
      </c>
      <c r="D87" s="1143" t="s">
        <v>884</v>
      </c>
      <c r="E87" s="59" t="str">
        <f>+E74</f>
        <v>2013</v>
      </c>
      <c r="F87" s="59" t="str">
        <f t="shared" ref="F87:Q87" si="57">+F74</f>
        <v>2014</v>
      </c>
      <c r="G87" s="59" t="str">
        <f t="shared" si="57"/>
        <v>2015</v>
      </c>
      <c r="H87" s="58">
        <f t="shared" si="57"/>
        <v>2016</v>
      </c>
      <c r="I87" s="59">
        <f t="shared" si="57"/>
        <v>2017</v>
      </c>
      <c r="J87" s="59">
        <f t="shared" si="57"/>
        <v>2018</v>
      </c>
      <c r="K87" s="59">
        <f t="shared" si="57"/>
        <v>2019</v>
      </c>
      <c r="L87" s="59">
        <f t="shared" si="57"/>
        <v>2020</v>
      </c>
      <c r="M87" s="59">
        <f t="shared" si="57"/>
        <v>2021</v>
      </c>
      <c r="N87" s="59">
        <f t="shared" si="57"/>
        <v>2022</v>
      </c>
      <c r="O87" s="59">
        <f t="shared" si="57"/>
        <v>2023</v>
      </c>
      <c r="P87" s="59">
        <f t="shared" si="57"/>
        <v>2024</v>
      </c>
      <c r="Q87" s="60">
        <f t="shared" si="57"/>
        <v>2025</v>
      </c>
    </row>
    <row r="88" spans="3:17" outlineLevel="1" x14ac:dyDescent="0.25">
      <c r="C88" s="22" t="s">
        <v>876</v>
      </c>
      <c r="D88" s="1136" t="s">
        <v>525</v>
      </c>
      <c r="E88" s="1130">
        <v>1000</v>
      </c>
      <c r="F88" s="1130">
        <f>+E88+75</f>
        <v>1075</v>
      </c>
      <c r="G88" s="1130">
        <f t="shared" ref="G88:Q88" si="58">+F88+75</f>
        <v>1150</v>
      </c>
      <c r="H88" s="1131">
        <f t="shared" si="58"/>
        <v>1225</v>
      </c>
      <c r="I88" s="1130">
        <f t="shared" si="58"/>
        <v>1300</v>
      </c>
      <c r="J88" s="1130">
        <f t="shared" si="58"/>
        <v>1375</v>
      </c>
      <c r="K88" s="1130">
        <f t="shared" si="58"/>
        <v>1450</v>
      </c>
      <c r="L88" s="1130">
        <f t="shared" si="58"/>
        <v>1525</v>
      </c>
      <c r="M88" s="1130">
        <f t="shared" si="58"/>
        <v>1600</v>
      </c>
      <c r="N88" s="1130">
        <f t="shared" si="58"/>
        <v>1675</v>
      </c>
      <c r="O88" s="1130">
        <f t="shared" si="58"/>
        <v>1750</v>
      </c>
      <c r="P88" s="1130">
        <f t="shared" si="58"/>
        <v>1825</v>
      </c>
      <c r="Q88" s="1132">
        <f t="shared" si="58"/>
        <v>1900</v>
      </c>
    </row>
    <row r="89" spans="3:17" outlineLevel="1" x14ac:dyDescent="0.25">
      <c r="C89" s="22" t="s">
        <v>877</v>
      </c>
      <c r="D89" s="1136" t="s">
        <v>525</v>
      </c>
      <c r="E89" s="1130">
        <f>E88*75</f>
        <v>75000</v>
      </c>
      <c r="F89" s="1130">
        <f>+E89*1.01</f>
        <v>75750</v>
      </c>
      <c r="G89" s="1130">
        <f t="shared" ref="G89:Q97" si="59">+F89*1.01</f>
        <v>76507.5</v>
      </c>
      <c r="H89" s="1131">
        <f t="shared" si="59"/>
        <v>77272.574999999997</v>
      </c>
      <c r="I89" s="1130">
        <f t="shared" si="59"/>
        <v>78045.300749999995</v>
      </c>
      <c r="J89" s="1130">
        <f t="shared" si="59"/>
        <v>78825.753757500002</v>
      </c>
      <c r="K89" s="1130">
        <f t="shared" si="59"/>
        <v>79614.011295075004</v>
      </c>
      <c r="L89" s="1130">
        <f t="shared" si="59"/>
        <v>80410.151408025762</v>
      </c>
      <c r="M89" s="1130">
        <f t="shared" si="59"/>
        <v>81214.252922106025</v>
      </c>
      <c r="N89" s="1130">
        <f t="shared" si="59"/>
        <v>82026.395451327087</v>
      </c>
      <c r="O89" s="1130">
        <f t="shared" si="59"/>
        <v>82846.659405840357</v>
      </c>
      <c r="P89" s="1130">
        <f t="shared" si="59"/>
        <v>83675.125999898766</v>
      </c>
      <c r="Q89" s="1132">
        <f t="shared" si="59"/>
        <v>84511.877259897752</v>
      </c>
    </row>
    <row r="90" spans="3:17" outlineLevel="1" x14ac:dyDescent="0.25">
      <c r="C90" s="22" t="s">
        <v>878</v>
      </c>
      <c r="D90" s="1136" t="s">
        <v>525</v>
      </c>
      <c r="E90" s="1130">
        <f>E89*2</f>
        <v>150000</v>
      </c>
      <c r="F90" s="1130">
        <f t="shared" ref="F90:J96" si="60">+E90*1.01</f>
        <v>151500</v>
      </c>
      <c r="G90" s="1130">
        <f t="shared" si="60"/>
        <v>153015</v>
      </c>
      <c r="H90" s="1131">
        <f t="shared" si="60"/>
        <v>154545.15</v>
      </c>
      <c r="I90" s="1130">
        <f t="shared" si="60"/>
        <v>156090.60149999999</v>
      </c>
      <c r="J90" s="1130">
        <f t="shared" si="60"/>
        <v>157651.507515</v>
      </c>
      <c r="K90" s="1130">
        <f t="shared" si="59"/>
        <v>159228.02259015001</v>
      </c>
      <c r="L90" s="1130">
        <f t="shared" si="59"/>
        <v>160820.30281605152</v>
      </c>
      <c r="M90" s="1130">
        <f t="shared" si="59"/>
        <v>162428.50584421205</v>
      </c>
      <c r="N90" s="1130">
        <f t="shared" si="59"/>
        <v>164052.79090265417</v>
      </c>
      <c r="O90" s="1130">
        <f t="shared" si="59"/>
        <v>165693.31881168071</v>
      </c>
      <c r="P90" s="1130">
        <f t="shared" si="59"/>
        <v>167350.25199979753</v>
      </c>
      <c r="Q90" s="1132">
        <f t="shared" si="59"/>
        <v>169023.7545197955</v>
      </c>
    </row>
    <row r="91" spans="3:17" outlineLevel="1" x14ac:dyDescent="0.25">
      <c r="C91" s="22" t="s">
        <v>879</v>
      </c>
      <c r="D91" s="1136" t="s">
        <v>525</v>
      </c>
      <c r="E91" s="1130">
        <f>E90*2</f>
        <v>300000</v>
      </c>
      <c r="F91" s="1130">
        <f t="shared" si="60"/>
        <v>303000</v>
      </c>
      <c r="G91" s="1130">
        <f t="shared" si="60"/>
        <v>306030</v>
      </c>
      <c r="H91" s="1131">
        <f t="shared" si="60"/>
        <v>309090.3</v>
      </c>
      <c r="I91" s="1130">
        <f t="shared" si="60"/>
        <v>312181.20299999998</v>
      </c>
      <c r="J91" s="1130">
        <f t="shared" si="60"/>
        <v>315303.01503000001</v>
      </c>
      <c r="K91" s="1130">
        <f t="shared" si="59"/>
        <v>318456.04518030002</v>
      </c>
      <c r="L91" s="1130">
        <f t="shared" si="59"/>
        <v>321640.60563210305</v>
      </c>
      <c r="M91" s="1130">
        <f t="shared" si="59"/>
        <v>324857.0116884241</v>
      </c>
      <c r="N91" s="1130">
        <f t="shared" si="59"/>
        <v>328105.58180530835</v>
      </c>
      <c r="O91" s="1130">
        <f t="shared" si="59"/>
        <v>331386.63762336143</v>
      </c>
      <c r="P91" s="1130">
        <f t="shared" si="59"/>
        <v>334700.50399959506</v>
      </c>
      <c r="Q91" s="1132">
        <f t="shared" si="59"/>
        <v>338047.50903959101</v>
      </c>
    </row>
    <row r="92" spans="3:17" outlineLevel="1" x14ac:dyDescent="0.25">
      <c r="C92" s="22" t="s">
        <v>880</v>
      </c>
      <c r="D92" s="1136" t="s">
        <v>525</v>
      </c>
      <c r="E92" s="1130">
        <f>E91*0.2</f>
        <v>60000</v>
      </c>
      <c r="F92" s="1130">
        <f t="shared" ref="F92:G95" si="61">+E92*1.1</f>
        <v>66000</v>
      </c>
      <c r="G92" s="1130">
        <f t="shared" si="61"/>
        <v>72600</v>
      </c>
      <c r="H92" s="1131">
        <f t="shared" si="60"/>
        <v>73326</v>
      </c>
      <c r="I92" s="1130">
        <f t="shared" si="60"/>
        <v>74059.259999999995</v>
      </c>
      <c r="J92" s="1130">
        <f t="shared" si="60"/>
        <v>74799.852599999998</v>
      </c>
      <c r="K92" s="1130">
        <f t="shared" si="59"/>
        <v>75547.851125999994</v>
      </c>
      <c r="L92" s="1130">
        <f t="shared" si="59"/>
        <v>76303.329637260002</v>
      </c>
      <c r="M92" s="1130">
        <f t="shared" si="59"/>
        <v>77066.362933632598</v>
      </c>
      <c r="N92" s="1130">
        <f t="shared" si="59"/>
        <v>77837.026562968924</v>
      </c>
      <c r="O92" s="1130">
        <f t="shared" si="59"/>
        <v>78615.396828598619</v>
      </c>
      <c r="P92" s="1130">
        <f t="shared" si="59"/>
        <v>79401.550796884607</v>
      </c>
      <c r="Q92" s="1132">
        <f t="shared" si="59"/>
        <v>80195.566304853448</v>
      </c>
    </row>
    <row r="93" spans="3:17" outlineLevel="1" x14ac:dyDescent="0.25">
      <c r="C93" s="22" t="s">
        <v>881</v>
      </c>
      <c r="D93" s="1136" t="s">
        <v>525</v>
      </c>
      <c r="E93" s="1130">
        <f>E92*0.1</f>
        <v>6000</v>
      </c>
      <c r="F93" s="1130">
        <f t="shared" si="61"/>
        <v>6600.0000000000009</v>
      </c>
      <c r="G93" s="1130">
        <f t="shared" si="61"/>
        <v>7260.0000000000018</v>
      </c>
      <c r="H93" s="1131">
        <f t="shared" si="60"/>
        <v>7332.6000000000022</v>
      </c>
      <c r="I93" s="1130">
        <f t="shared" si="60"/>
        <v>7405.9260000000022</v>
      </c>
      <c r="J93" s="1130">
        <f t="shared" si="60"/>
        <v>7479.9852600000022</v>
      </c>
      <c r="K93" s="1130">
        <f t="shared" si="59"/>
        <v>7554.7851126000023</v>
      </c>
      <c r="L93" s="1130">
        <f t="shared" si="59"/>
        <v>7630.3329637260022</v>
      </c>
      <c r="M93" s="1130">
        <f t="shared" si="59"/>
        <v>7706.6362933632627</v>
      </c>
      <c r="N93" s="1130">
        <f t="shared" si="59"/>
        <v>7783.7026562968949</v>
      </c>
      <c r="O93" s="1130">
        <f t="shared" si="59"/>
        <v>7861.5396828598641</v>
      </c>
      <c r="P93" s="1130">
        <f t="shared" si="59"/>
        <v>7940.155079688463</v>
      </c>
      <c r="Q93" s="1132">
        <f t="shared" si="59"/>
        <v>8019.5566304853473</v>
      </c>
    </row>
    <row r="94" spans="3:17" outlineLevel="1" x14ac:dyDescent="0.25">
      <c r="C94" s="22" t="s">
        <v>882</v>
      </c>
      <c r="D94" s="1136" t="s">
        <v>525</v>
      </c>
      <c r="E94" s="1130">
        <f>E93*2</f>
        <v>12000</v>
      </c>
      <c r="F94" s="1130">
        <f t="shared" si="61"/>
        <v>13200.000000000002</v>
      </c>
      <c r="G94" s="1130">
        <f t="shared" si="61"/>
        <v>14520.000000000004</v>
      </c>
      <c r="H94" s="1131">
        <f t="shared" si="60"/>
        <v>14665.200000000004</v>
      </c>
      <c r="I94" s="1130">
        <f t="shared" si="60"/>
        <v>14811.852000000004</v>
      </c>
      <c r="J94" s="1130">
        <f t="shared" si="60"/>
        <v>14959.970520000004</v>
      </c>
      <c r="K94" s="1130">
        <f t="shared" si="59"/>
        <v>15109.570225200005</v>
      </c>
      <c r="L94" s="1130">
        <f t="shared" si="59"/>
        <v>15260.665927452004</v>
      </c>
      <c r="M94" s="1130">
        <f t="shared" si="59"/>
        <v>15413.272586726525</v>
      </c>
      <c r="N94" s="1130">
        <f t="shared" si="59"/>
        <v>15567.40531259379</v>
      </c>
      <c r="O94" s="1130">
        <f t="shared" si="59"/>
        <v>15723.079365719728</v>
      </c>
      <c r="P94" s="1130">
        <f t="shared" si="59"/>
        <v>15880.310159376926</v>
      </c>
      <c r="Q94" s="1132">
        <f t="shared" si="59"/>
        <v>16039.113260970695</v>
      </c>
    </row>
    <row r="95" spans="3:17" outlineLevel="1" x14ac:dyDescent="0.25">
      <c r="C95" s="22" t="s">
        <v>885</v>
      </c>
      <c r="D95" s="1136" t="s">
        <v>525</v>
      </c>
      <c r="E95" s="1130">
        <f>E94*1.59445</f>
        <v>19133.399999999998</v>
      </c>
      <c r="F95" s="1130">
        <f t="shared" si="61"/>
        <v>21046.739999999998</v>
      </c>
      <c r="G95" s="1130">
        <f t="shared" si="61"/>
        <v>23151.414000000001</v>
      </c>
      <c r="H95" s="1131">
        <f t="shared" si="60"/>
        <v>23382.92814</v>
      </c>
      <c r="I95" s="1130">
        <f t="shared" si="60"/>
        <v>23616.757421400001</v>
      </c>
      <c r="J95" s="1130">
        <f t="shared" si="60"/>
        <v>23852.924995614001</v>
      </c>
      <c r="K95" s="1130">
        <f t="shared" si="59"/>
        <v>24091.454245570141</v>
      </c>
      <c r="L95" s="1130">
        <f t="shared" si="59"/>
        <v>24332.368788025844</v>
      </c>
      <c r="M95" s="1130">
        <f t="shared" si="59"/>
        <v>24575.692475906104</v>
      </c>
      <c r="N95" s="1130">
        <f t="shared" si="59"/>
        <v>24821.449400665166</v>
      </c>
      <c r="O95" s="1130">
        <f t="shared" si="59"/>
        <v>25069.663894671819</v>
      </c>
      <c r="P95" s="1130">
        <f t="shared" si="59"/>
        <v>25320.360533618539</v>
      </c>
      <c r="Q95" s="1132">
        <f t="shared" si="59"/>
        <v>25573.564138954724</v>
      </c>
    </row>
    <row r="96" spans="3:17" outlineLevel="1" x14ac:dyDescent="0.25">
      <c r="C96" s="22" t="s">
        <v>885</v>
      </c>
      <c r="D96" s="1136" t="s">
        <v>525</v>
      </c>
      <c r="E96" s="1130">
        <f>E95*1.2/10</f>
        <v>2296.0079999999998</v>
      </c>
      <c r="F96" s="1130">
        <f>+E96*0.678</f>
        <v>1556.6934240000001</v>
      </c>
      <c r="G96" s="1130">
        <f>+F96*1.49</f>
        <v>2319.4732017599999</v>
      </c>
      <c r="H96" s="1131">
        <f t="shared" si="60"/>
        <v>2342.6679337776</v>
      </c>
      <c r="I96" s="1130">
        <f t="shared" si="60"/>
        <v>2366.094613115376</v>
      </c>
      <c r="J96" s="1130">
        <f t="shared" si="60"/>
        <v>2389.7555592465296</v>
      </c>
      <c r="K96" s="1130">
        <f t="shared" si="59"/>
        <v>2413.653114838995</v>
      </c>
      <c r="L96" s="1130">
        <f t="shared" si="59"/>
        <v>2437.789645987385</v>
      </c>
      <c r="M96" s="1130">
        <f t="shared" si="59"/>
        <v>2462.1675424472587</v>
      </c>
      <c r="N96" s="1130">
        <f t="shared" si="59"/>
        <v>2486.7892178717311</v>
      </c>
      <c r="O96" s="1130">
        <f t="shared" si="59"/>
        <v>2511.6571100504484</v>
      </c>
      <c r="P96" s="1130">
        <f t="shared" si="59"/>
        <v>2536.7736811509531</v>
      </c>
      <c r="Q96" s="1132">
        <f t="shared" si="59"/>
        <v>2562.1414179624626</v>
      </c>
    </row>
    <row r="97" spans="3:17" outlineLevel="1" x14ac:dyDescent="0.25">
      <c r="C97" s="29" t="s">
        <v>885</v>
      </c>
      <c r="D97" s="1137" t="s">
        <v>525</v>
      </c>
      <c r="E97" s="1133">
        <f>E96*2/100</f>
        <v>45.920159999999996</v>
      </c>
      <c r="F97" s="1133">
        <f>+E97*1.01</f>
        <v>46.379361599999996</v>
      </c>
      <c r="G97" s="1133">
        <f>+F97*1.01</f>
        <v>46.843155216</v>
      </c>
      <c r="H97" s="1134">
        <f>+G97*1.01</f>
        <v>47.311586768159998</v>
      </c>
      <c r="I97" s="1133">
        <f>+H97*1.01</f>
        <v>47.784702635841597</v>
      </c>
      <c r="J97" s="1133">
        <f>+I97*1.01</f>
        <v>48.262549662200016</v>
      </c>
      <c r="K97" s="1133">
        <f t="shared" si="59"/>
        <v>48.745175158822015</v>
      </c>
      <c r="L97" s="1133">
        <f t="shared" si="59"/>
        <v>49.232626910410232</v>
      </c>
      <c r="M97" s="1133">
        <f t="shared" si="59"/>
        <v>49.724953179514337</v>
      </c>
      <c r="N97" s="1133">
        <f t="shared" si="59"/>
        <v>50.222202711309478</v>
      </c>
      <c r="O97" s="1133">
        <f t="shared" si="59"/>
        <v>50.72442473842257</v>
      </c>
      <c r="P97" s="1133">
        <f t="shared" si="59"/>
        <v>51.231668985806799</v>
      </c>
      <c r="Q97" s="1135">
        <f t="shared" si="59"/>
        <v>51.743985675664867</v>
      </c>
    </row>
    <row r="98" spans="3:17" s="526" customFormat="1" outlineLevel="1" x14ac:dyDescent="0.25"/>
    <row r="99" spans="3:17" s="526" customFormat="1" outlineLevel="1" x14ac:dyDescent="0.25">
      <c r="C99" s="517" t="s">
        <v>902</v>
      </c>
      <c r="D99" s="1127"/>
      <c r="E99" s="1127"/>
      <c r="F99" s="1127"/>
      <c r="G99" s="1127"/>
      <c r="H99" s="1128"/>
      <c r="I99" s="1127"/>
      <c r="J99" s="1127"/>
      <c r="K99" s="1127"/>
      <c r="L99" s="1127"/>
      <c r="M99" s="1127"/>
      <c r="N99" s="1127"/>
      <c r="O99" s="1127"/>
      <c r="P99" s="1127"/>
      <c r="Q99" s="1129"/>
    </row>
    <row r="100" spans="3:17" s="526" customFormat="1" ht="15.75" outlineLevel="1" thickBot="1" x14ac:dyDescent="0.3">
      <c r="C100" s="366" t="s">
        <v>883</v>
      </c>
      <c r="D100" s="1142" t="s">
        <v>884</v>
      </c>
      <c r="E100" s="59" t="str">
        <f>E87</f>
        <v>2013</v>
      </c>
      <c r="F100" s="59" t="str">
        <f t="shared" ref="F100:Q100" si="62">F87</f>
        <v>2014</v>
      </c>
      <c r="G100" s="59" t="str">
        <f t="shared" si="62"/>
        <v>2015</v>
      </c>
      <c r="H100" s="58">
        <f t="shared" si="62"/>
        <v>2016</v>
      </c>
      <c r="I100" s="59">
        <f t="shared" si="62"/>
        <v>2017</v>
      </c>
      <c r="J100" s="59">
        <f t="shared" si="62"/>
        <v>2018</v>
      </c>
      <c r="K100" s="59">
        <f t="shared" si="62"/>
        <v>2019</v>
      </c>
      <c r="L100" s="59">
        <f t="shared" si="62"/>
        <v>2020</v>
      </c>
      <c r="M100" s="59">
        <f t="shared" si="62"/>
        <v>2021</v>
      </c>
      <c r="N100" s="59">
        <f t="shared" si="62"/>
        <v>2022</v>
      </c>
      <c r="O100" s="59">
        <f t="shared" si="62"/>
        <v>2023</v>
      </c>
      <c r="P100" s="59">
        <f t="shared" si="62"/>
        <v>2024</v>
      </c>
      <c r="Q100" s="60">
        <f t="shared" si="62"/>
        <v>2025</v>
      </c>
    </row>
    <row r="101" spans="3:17" s="526" customFormat="1" outlineLevel="1" x14ac:dyDescent="0.25">
      <c r="C101" s="22" t="s">
        <v>876</v>
      </c>
      <c r="D101" s="354" t="s">
        <v>525</v>
      </c>
      <c r="E101" s="862">
        <f>E75*E88/1000000</f>
        <v>0.1</v>
      </c>
      <c r="F101" s="862">
        <f t="shared" ref="F101:Q110" si="63">F75*F88/1000000</f>
        <v>0.18812499999999999</v>
      </c>
      <c r="G101" s="862">
        <f t="shared" si="63"/>
        <v>0.28749999999999998</v>
      </c>
      <c r="H101" s="1138">
        <f t="shared" si="63"/>
        <v>0.39812500000000001</v>
      </c>
      <c r="I101" s="862">
        <f t="shared" si="63"/>
        <v>0.52</v>
      </c>
      <c r="J101" s="862">
        <f t="shared" si="63"/>
        <v>0.65312499999999996</v>
      </c>
      <c r="K101" s="862">
        <f t="shared" si="63"/>
        <v>0.79749999999999999</v>
      </c>
      <c r="L101" s="862">
        <f t="shared" si="63"/>
        <v>0.953125</v>
      </c>
      <c r="M101" s="862">
        <f t="shared" si="63"/>
        <v>1.1200000000000001</v>
      </c>
      <c r="N101" s="862">
        <f t="shared" si="63"/>
        <v>1.298125</v>
      </c>
      <c r="O101" s="862">
        <f t="shared" si="63"/>
        <v>1.4875</v>
      </c>
      <c r="P101" s="862">
        <f t="shared" si="63"/>
        <v>1.6881250000000001</v>
      </c>
      <c r="Q101" s="1116">
        <f t="shared" si="63"/>
        <v>1.9</v>
      </c>
    </row>
    <row r="102" spans="3:17" s="526" customFormat="1" outlineLevel="1" x14ac:dyDescent="0.25">
      <c r="C102" s="22" t="s">
        <v>877</v>
      </c>
      <c r="D102" s="354" t="s">
        <v>525</v>
      </c>
      <c r="E102" s="862">
        <f t="shared" ref="E102:J110" si="64">E76*E89/1000000</f>
        <v>225</v>
      </c>
      <c r="F102" s="862">
        <f t="shared" si="64"/>
        <v>229.52250000000001</v>
      </c>
      <c r="G102" s="862">
        <f t="shared" si="64"/>
        <v>234.13590224999999</v>
      </c>
      <c r="H102" s="1138">
        <f t="shared" si="64"/>
        <v>238.84203388522499</v>
      </c>
      <c r="I102" s="862">
        <f t="shared" si="64"/>
        <v>243.64275876631805</v>
      </c>
      <c r="J102" s="862">
        <f t="shared" si="64"/>
        <v>248.53997821752108</v>
      </c>
      <c r="K102" s="862">
        <f t="shared" si="63"/>
        <v>253.53563177969323</v>
      </c>
      <c r="L102" s="862">
        <f t="shared" si="63"/>
        <v>258.63169797846513</v>
      </c>
      <c r="M102" s="862">
        <f t="shared" si="63"/>
        <v>263.83019510783225</v>
      </c>
      <c r="N102" s="862">
        <f t="shared" si="63"/>
        <v>269.13318202949966</v>
      </c>
      <c r="O102" s="862">
        <f t="shared" si="63"/>
        <v>274.54275898829263</v>
      </c>
      <c r="P102" s="862">
        <f t="shared" si="63"/>
        <v>280.06106844395731</v>
      </c>
      <c r="Q102" s="1116">
        <f t="shared" si="63"/>
        <v>285.69029591968092</v>
      </c>
    </row>
    <row r="103" spans="3:17" s="526" customFormat="1" outlineLevel="1" x14ac:dyDescent="0.25">
      <c r="C103" s="22" t="s">
        <v>878</v>
      </c>
      <c r="D103" s="354" t="s">
        <v>525</v>
      </c>
      <c r="E103" s="862">
        <f t="shared" si="64"/>
        <v>900</v>
      </c>
      <c r="F103" s="862">
        <f t="shared" si="64"/>
        <v>918.09</v>
      </c>
      <c r="G103" s="862">
        <f t="shared" si="64"/>
        <v>936.54360899999995</v>
      </c>
      <c r="H103" s="1138">
        <f t="shared" si="64"/>
        <v>955.36813554089997</v>
      </c>
      <c r="I103" s="862">
        <f t="shared" si="64"/>
        <v>974.57103506527221</v>
      </c>
      <c r="J103" s="862">
        <f t="shared" si="64"/>
        <v>994.15991287008433</v>
      </c>
      <c r="K103" s="862">
        <f t="shared" si="63"/>
        <v>1014.1425271187729</v>
      </c>
      <c r="L103" s="862">
        <f t="shared" si="63"/>
        <v>1034.5267919138605</v>
      </c>
      <c r="M103" s="862">
        <f t="shared" si="63"/>
        <v>1055.320780431329</v>
      </c>
      <c r="N103" s="862">
        <f t="shared" si="63"/>
        <v>1076.5327281179987</v>
      </c>
      <c r="O103" s="862">
        <f t="shared" si="63"/>
        <v>1098.1710359531705</v>
      </c>
      <c r="P103" s="862">
        <f t="shared" si="63"/>
        <v>1120.2442737758292</v>
      </c>
      <c r="Q103" s="1116">
        <f t="shared" si="63"/>
        <v>1142.7611836787237</v>
      </c>
    </row>
    <row r="104" spans="3:17" s="526" customFormat="1" outlineLevel="1" x14ac:dyDescent="0.25">
      <c r="C104" s="22" t="s">
        <v>879</v>
      </c>
      <c r="D104" s="354" t="s">
        <v>525</v>
      </c>
      <c r="E104" s="862">
        <f t="shared" si="64"/>
        <v>3600</v>
      </c>
      <c r="F104" s="862">
        <f t="shared" si="64"/>
        <v>3672.36</v>
      </c>
      <c r="G104" s="862">
        <f t="shared" si="64"/>
        <v>3746.1744359999998</v>
      </c>
      <c r="H104" s="1138">
        <f t="shared" si="64"/>
        <v>3821.4725421635999</v>
      </c>
      <c r="I104" s="862">
        <f t="shared" si="64"/>
        <v>3898.2841402610889</v>
      </c>
      <c r="J104" s="862">
        <f t="shared" si="64"/>
        <v>3976.6396514803373</v>
      </c>
      <c r="K104" s="862">
        <f t="shared" si="63"/>
        <v>4056.5701084750917</v>
      </c>
      <c r="L104" s="862">
        <f t="shared" si="63"/>
        <v>4138.107167655442</v>
      </c>
      <c r="M104" s="862">
        <f t="shared" si="63"/>
        <v>4221.2831217253161</v>
      </c>
      <c r="N104" s="862">
        <f t="shared" si="63"/>
        <v>4306.1309124719946</v>
      </c>
      <c r="O104" s="862">
        <f t="shared" si="63"/>
        <v>4392.6841438126821</v>
      </c>
      <c r="P104" s="862">
        <f t="shared" si="63"/>
        <v>4480.977095103317</v>
      </c>
      <c r="Q104" s="1116">
        <f t="shared" si="63"/>
        <v>4571.0447347148947</v>
      </c>
    </row>
    <row r="105" spans="3:17" s="526" customFormat="1" outlineLevel="1" x14ac:dyDescent="0.25">
      <c r="C105" s="22" t="s">
        <v>880</v>
      </c>
      <c r="D105" s="354" t="s">
        <v>525</v>
      </c>
      <c r="E105" s="862">
        <f t="shared" si="64"/>
        <v>1440</v>
      </c>
      <c r="F105" s="862">
        <f t="shared" si="64"/>
        <v>1599.84</v>
      </c>
      <c r="G105" s="862">
        <f t="shared" si="64"/>
        <v>1777.4222400000001</v>
      </c>
      <c r="H105" s="1138">
        <f t="shared" si="64"/>
        <v>1813.1484270240001</v>
      </c>
      <c r="I105" s="862">
        <f t="shared" si="64"/>
        <v>1849.5927104071825</v>
      </c>
      <c r="J105" s="862">
        <f t="shared" si="64"/>
        <v>1886.7695238863671</v>
      </c>
      <c r="K105" s="862">
        <f t="shared" si="63"/>
        <v>1924.6935913164828</v>
      </c>
      <c r="L105" s="862">
        <f t="shared" si="63"/>
        <v>1963.3799325019443</v>
      </c>
      <c r="M105" s="862">
        <f t="shared" si="63"/>
        <v>2002.8438691452332</v>
      </c>
      <c r="N105" s="862">
        <f t="shared" si="63"/>
        <v>2043.1010309150524</v>
      </c>
      <c r="O105" s="862">
        <f t="shared" si="63"/>
        <v>2084.1673616364451</v>
      </c>
      <c r="P105" s="862">
        <f t="shared" si="63"/>
        <v>2126.0591256053381</v>
      </c>
      <c r="Q105" s="1116">
        <f t="shared" si="63"/>
        <v>2168.7929140300048</v>
      </c>
    </row>
    <row r="106" spans="3:17" s="526" customFormat="1" outlineLevel="1" x14ac:dyDescent="0.25">
      <c r="C106" s="22" t="s">
        <v>881</v>
      </c>
      <c r="D106" s="354" t="s">
        <v>525</v>
      </c>
      <c r="E106" s="862">
        <f t="shared" si="64"/>
        <v>288</v>
      </c>
      <c r="F106" s="862">
        <f t="shared" si="64"/>
        <v>319.96800000000007</v>
      </c>
      <c r="G106" s="862">
        <f t="shared" si="64"/>
        <v>355.4844480000001</v>
      </c>
      <c r="H106" s="1138">
        <f t="shared" si="64"/>
        <v>362.62968540480011</v>
      </c>
      <c r="I106" s="862">
        <f t="shared" si="64"/>
        <v>369.91854208143661</v>
      </c>
      <c r="J106" s="862">
        <f t="shared" si="64"/>
        <v>377.35390477727356</v>
      </c>
      <c r="K106" s="862">
        <f t="shared" si="63"/>
        <v>384.93871826329672</v>
      </c>
      <c r="L106" s="862">
        <f t="shared" si="63"/>
        <v>392.675986500389</v>
      </c>
      <c r="M106" s="862">
        <f t="shared" si="63"/>
        <v>400.56877382904679</v>
      </c>
      <c r="N106" s="862">
        <f t="shared" si="63"/>
        <v>408.62020618301062</v>
      </c>
      <c r="O106" s="862">
        <f t="shared" si="63"/>
        <v>416.83347232728909</v>
      </c>
      <c r="P106" s="862">
        <f t="shared" si="63"/>
        <v>425.2118251210677</v>
      </c>
      <c r="Q106" s="1116">
        <f t="shared" si="63"/>
        <v>433.75858280600113</v>
      </c>
    </row>
    <row r="107" spans="3:17" s="526" customFormat="1" outlineLevel="1" x14ac:dyDescent="0.25">
      <c r="C107" s="22" t="s">
        <v>882</v>
      </c>
      <c r="D107" s="354" t="s">
        <v>525</v>
      </c>
      <c r="E107" s="862">
        <f t="shared" si="64"/>
        <v>1152</v>
      </c>
      <c r="F107" s="862">
        <f t="shared" si="64"/>
        <v>1279.8720000000003</v>
      </c>
      <c r="G107" s="862">
        <f t="shared" si="64"/>
        <v>1421.9377920000004</v>
      </c>
      <c r="H107" s="1138">
        <f t="shared" si="64"/>
        <v>1450.5187416192005</v>
      </c>
      <c r="I107" s="862">
        <f t="shared" si="64"/>
        <v>1479.6741683257465</v>
      </c>
      <c r="J107" s="862">
        <f t="shared" si="64"/>
        <v>1509.4156191090942</v>
      </c>
      <c r="K107" s="862">
        <f t="shared" si="63"/>
        <v>1539.7548730531869</v>
      </c>
      <c r="L107" s="862">
        <f t="shared" si="63"/>
        <v>1570.703946001556</v>
      </c>
      <c r="M107" s="862">
        <f t="shared" si="63"/>
        <v>1602.2750953161872</v>
      </c>
      <c r="N107" s="862">
        <f t="shared" si="63"/>
        <v>1634.4808247320425</v>
      </c>
      <c r="O107" s="862">
        <f t="shared" si="63"/>
        <v>1667.3338893091563</v>
      </c>
      <c r="P107" s="862">
        <f t="shared" si="63"/>
        <v>1700.8473004842708</v>
      </c>
      <c r="Q107" s="1116">
        <f t="shared" si="63"/>
        <v>1735.0343312240045</v>
      </c>
    </row>
    <row r="108" spans="3:17" s="526" customFormat="1" outlineLevel="1" x14ac:dyDescent="0.25">
      <c r="C108" s="22" t="s">
        <v>885</v>
      </c>
      <c r="D108" s="354" t="s">
        <v>525</v>
      </c>
      <c r="E108" s="862">
        <f t="shared" si="64"/>
        <v>3673.6127999999994</v>
      </c>
      <c r="F108" s="862">
        <f t="shared" si="64"/>
        <v>4081.3838207999997</v>
      </c>
      <c r="G108" s="862">
        <f t="shared" si="64"/>
        <v>4534.4174249088001</v>
      </c>
      <c r="H108" s="1138">
        <f t="shared" si="64"/>
        <v>4625.5592151494675</v>
      </c>
      <c r="I108" s="862">
        <f t="shared" si="64"/>
        <v>4718.5329553739721</v>
      </c>
      <c r="J108" s="862">
        <f t="shared" si="64"/>
        <v>4813.3754677769894</v>
      </c>
      <c r="K108" s="862">
        <f t="shared" si="63"/>
        <v>4910.1243146793058</v>
      </c>
      <c r="L108" s="862">
        <f t="shared" si="63"/>
        <v>5008.817813404361</v>
      </c>
      <c r="M108" s="862">
        <f t="shared" si="63"/>
        <v>5109.4950514537886</v>
      </c>
      <c r="N108" s="862">
        <f t="shared" si="63"/>
        <v>5212.1959019880096</v>
      </c>
      <c r="O108" s="862">
        <f t="shared" si="63"/>
        <v>5316.9610396179687</v>
      </c>
      <c r="P108" s="862">
        <f t="shared" si="63"/>
        <v>5423.8319565142911</v>
      </c>
      <c r="Q108" s="1116">
        <f t="shared" si="63"/>
        <v>5532.850978840228</v>
      </c>
    </row>
    <row r="109" spans="3:17" s="526" customFormat="1" outlineLevel="1" x14ac:dyDescent="0.25">
      <c r="C109" s="22" t="s">
        <v>885</v>
      </c>
      <c r="D109" s="354" t="s">
        <v>525</v>
      </c>
      <c r="E109" s="862">
        <f t="shared" si="64"/>
        <v>881.66707199999985</v>
      </c>
      <c r="F109" s="862">
        <f t="shared" si="64"/>
        <v>603.74797756416001</v>
      </c>
      <c r="G109" s="862">
        <f t="shared" si="64"/>
        <v>908.5803314363045</v>
      </c>
      <c r="H109" s="1138">
        <f t="shared" si="64"/>
        <v>926.84279609817418</v>
      </c>
      <c r="I109" s="862">
        <f t="shared" si="64"/>
        <v>945.47233629974755</v>
      </c>
      <c r="J109" s="862">
        <f t="shared" si="64"/>
        <v>964.4763302593725</v>
      </c>
      <c r="K109" s="862">
        <f t="shared" si="63"/>
        <v>983.8623044975858</v>
      </c>
      <c r="L109" s="862">
        <f t="shared" si="63"/>
        <v>1003.6379368179873</v>
      </c>
      <c r="M109" s="862">
        <f t="shared" si="63"/>
        <v>1023.8110593480288</v>
      </c>
      <c r="N109" s="862">
        <f t="shared" si="63"/>
        <v>1044.389661640924</v>
      </c>
      <c r="O109" s="862">
        <f t="shared" si="63"/>
        <v>1065.3818938399065</v>
      </c>
      <c r="P109" s="862">
        <f t="shared" si="63"/>
        <v>1086.7960699060889</v>
      </c>
      <c r="Q109" s="1116">
        <f t="shared" si="63"/>
        <v>1108.6406709112011</v>
      </c>
    </row>
    <row r="110" spans="3:17" s="526" customFormat="1" outlineLevel="1" x14ac:dyDescent="0.25">
      <c r="C110" s="29" t="s">
        <v>885</v>
      </c>
      <c r="D110" s="357" t="s">
        <v>525</v>
      </c>
      <c r="E110" s="1121">
        <f t="shared" si="64"/>
        <v>35.266682879999998</v>
      </c>
      <c r="F110" s="1121">
        <f t="shared" si="64"/>
        <v>35.975543205887995</v>
      </c>
      <c r="G110" s="1121">
        <f t="shared" si="64"/>
        <v>36.698651624326345</v>
      </c>
      <c r="H110" s="1139">
        <f t="shared" si="64"/>
        <v>37.436294521975306</v>
      </c>
      <c r="I110" s="1121">
        <f t="shared" si="64"/>
        <v>38.188764041867017</v>
      </c>
      <c r="J110" s="1121">
        <f t="shared" si="64"/>
        <v>38.95635819910855</v>
      </c>
      <c r="K110" s="1121">
        <f t="shared" si="63"/>
        <v>39.739380998910626</v>
      </c>
      <c r="L110" s="1121">
        <f t="shared" si="63"/>
        <v>40.538142556988731</v>
      </c>
      <c r="M110" s="1121">
        <f t="shared" si="63"/>
        <v>41.3529592223842</v>
      </c>
      <c r="N110" s="1121">
        <f t="shared" si="63"/>
        <v>42.184153702754116</v>
      </c>
      <c r="O110" s="1121">
        <f t="shared" si="63"/>
        <v>43.03205519217947</v>
      </c>
      <c r="P110" s="1121">
        <f t="shared" si="63"/>
        <v>43.896999501542282</v>
      </c>
      <c r="Q110" s="865">
        <f t="shared" si="63"/>
        <v>44.779329191523289</v>
      </c>
    </row>
    <row r="111" spans="3:17" s="1042" customFormat="1" outlineLevel="1" x14ac:dyDescent="0.25">
      <c r="C111" s="517" t="s">
        <v>888</v>
      </c>
      <c r="D111" s="1063" t="s">
        <v>525</v>
      </c>
      <c r="E111" s="1124">
        <f>SUM(E101:E110)</f>
        <v>12195.646554879999</v>
      </c>
      <c r="F111" s="1124">
        <f t="shared" ref="F111:Q111" si="65">SUM(F101:F110)</f>
        <v>12740.947966570049</v>
      </c>
      <c r="G111" s="1124">
        <f t="shared" si="65"/>
        <v>13951.68233521943</v>
      </c>
      <c r="H111" s="1140">
        <f t="shared" si="65"/>
        <v>14232.215996407342</v>
      </c>
      <c r="I111" s="1124">
        <f t="shared" si="65"/>
        <v>14518.397410622631</v>
      </c>
      <c r="J111" s="1124">
        <f t="shared" si="65"/>
        <v>14810.339871576147</v>
      </c>
      <c r="K111" s="1124">
        <f t="shared" si="65"/>
        <v>15108.158950182325</v>
      </c>
      <c r="L111" s="1124">
        <f t="shared" si="65"/>
        <v>15411.972540330995</v>
      </c>
      <c r="M111" s="1124">
        <f t="shared" si="65"/>
        <v>15721.900905579147</v>
      </c>
      <c r="N111" s="1124">
        <f t="shared" si="65"/>
        <v>16038.066726781284</v>
      </c>
      <c r="O111" s="1124">
        <f t="shared" si="65"/>
        <v>16360.595150677091</v>
      </c>
      <c r="P111" s="1124">
        <f t="shared" si="65"/>
        <v>16689.613839455706</v>
      </c>
      <c r="Q111" s="1125">
        <f t="shared" si="65"/>
        <v>17025.253021316261</v>
      </c>
    </row>
    <row r="112" spans="3:17" s="1042" customFormat="1" outlineLevel="1" x14ac:dyDescent="0.25"/>
    <row r="113" spans="2:17" s="533" customFormat="1" ht="18.75" outlineLevel="1" collapsed="1" x14ac:dyDescent="0.3">
      <c r="B113" s="1141">
        <v>2</v>
      </c>
      <c r="C113" s="1154" t="s">
        <v>903</v>
      </c>
      <c r="D113" s="1155"/>
      <c r="E113" s="1155"/>
      <c r="F113" s="1155"/>
      <c r="G113" s="1155"/>
      <c r="H113" s="1156"/>
      <c r="I113" s="1155"/>
      <c r="J113" s="1155"/>
      <c r="K113" s="1155"/>
      <c r="L113" s="1155"/>
      <c r="M113" s="1155"/>
      <c r="N113" s="1155"/>
      <c r="O113" s="1155"/>
      <c r="P113" s="1155"/>
      <c r="Q113" s="1157"/>
    </row>
    <row r="114" spans="2:17" outlineLevel="1" x14ac:dyDescent="0.25">
      <c r="C114" s="517" t="s">
        <v>896</v>
      </c>
      <c r="D114" s="1127"/>
      <c r="E114" s="1127"/>
      <c r="F114" s="1127"/>
      <c r="G114" s="1127"/>
      <c r="H114" s="1128"/>
      <c r="I114" s="1127"/>
      <c r="J114" s="1127"/>
      <c r="K114" s="1127"/>
      <c r="L114" s="1127"/>
      <c r="M114" s="1127"/>
      <c r="N114" s="1127"/>
      <c r="O114" s="1127"/>
      <c r="P114" s="1127"/>
      <c r="Q114" s="1129"/>
    </row>
    <row r="115" spans="2:17" s="7" customFormat="1" ht="17.25" customHeight="1" outlineLevel="1" thickBot="1" x14ac:dyDescent="0.3">
      <c r="C115" s="366" t="s">
        <v>883</v>
      </c>
      <c r="D115" s="1142" t="s">
        <v>884</v>
      </c>
      <c r="E115" s="59" t="str">
        <f t="shared" ref="E115:Q115" si="66">+E100</f>
        <v>2013</v>
      </c>
      <c r="F115" s="59" t="str">
        <f t="shared" si="66"/>
        <v>2014</v>
      </c>
      <c r="G115" s="59" t="str">
        <f t="shared" si="66"/>
        <v>2015</v>
      </c>
      <c r="H115" s="58">
        <f t="shared" si="66"/>
        <v>2016</v>
      </c>
      <c r="I115" s="59">
        <f t="shared" si="66"/>
        <v>2017</v>
      </c>
      <c r="J115" s="59">
        <f t="shared" si="66"/>
        <v>2018</v>
      </c>
      <c r="K115" s="59">
        <f t="shared" si="66"/>
        <v>2019</v>
      </c>
      <c r="L115" s="59">
        <f t="shared" si="66"/>
        <v>2020</v>
      </c>
      <c r="M115" s="59">
        <f t="shared" si="66"/>
        <v>2021</v>
      </c>
      <c r="N115" s="59">
        <f t="shared" si="66"/>
        <v>2022</v>
      </c>
      <c r="O115" s="59">
        <f t="shared" si="66"/>
        <v>2023</v>
      </c>
      <c r="P115" s="59">
        <f t="shared" si="66"/>
        <v>2024</v>
      </c>
      <c r="Q115" s="60">
        <f t="shared" si="66"/>
        <v>2025</v>
      </c>
    </row>
    <row r="116" spans="2:17" ht="15.75" customHeight="1" outlineLevel="1" x14ac:dyDescent="0.25">
      <c r="C116" s="22" t="s">
        <v>876</v>
      </c>
      <c r="D116" s="354" t="s">
        <v>890</v>
      </c>
      <c r="E116" s="1130">
        <v>100</v>
      </c>
      <c r="F116" s="1130">
        <f>+E116+75</f>
        <v>175</v>
      </c>
      <c r="G116" s="1130">
        <f t="shared" ref="G116:Q116" si="67">+F116+75</f>
        <v>250</v>
      </c>
      <c r="H116" s="1131">
        <f t="shared" si="67"/>
        <v>325</v>
      </c>
      <c r="I116" s="1130">
        <f t="shared" si="67"/>
        <v>400</v>
      </c>
      <c r="J116" s="1130">
        <f t="shared" si="67"/>
        <v>475</v>
      </c>
      <c r="K116" s="1130">
        <f t="shared" si="67"/>
        <v>550</v>
      </c>
      <c r="L116" s="1130">
        <f t="shared" si="67"/>
        <v>625</v>
      </c>
      <c r="M116" s="1130">
        <f t="shared" si="67"/>
        <v>700</v>
      </c>
      <c r="N116" s="1130">
        <f t="shared" si="67"/>
        <v>775</v>
      </c>
      <c r="O116" s="1130">
        <f t="shared" si="67"/>
        <v>850</v>
      </c>
      <c r="P116" s="1130">
        <f t="shared" si="67"/>
        <v>925</v>
      </c>
      <c r="Q116" s="1132">
        <f t="shared" si="67"/>
        <v>1000</v>
      </c>
    </row>
    <row r="117" spans="2:17" ht="15.75" customHeight="1" outlineLevel="1" x14ac:dyDescent="0.25">
      <c r="C117" s="22" t="s">
        <v>877</v>
      </c>
      <c r="D117" s="354" t="s">
        <v>890</v>
      </c>
      <c r="E117" s="1130">
        <f>E116*30</f>
        <v>3000</v>
      </c>
      <c r="F117" s="1130">
        <f>+E117*1.01</f>
        <v>3030</v>
      </c>
      <c r="G117" s="1130">
        <f t="shared" ref="G117:Q125" si="68">+F117*1.01</f>
        <v>3060.3</v>
      </c>
      <c r="H117" s="1131">
        <f t="shared" si="68"/>
        <v>3090.9030000000002</v>
      </c>
      <c r="I117" s="1130">
        <f t="shared" si="68"/>
        <v>3121.8120300000005</v>
      </c>
      <c r="J117" s="1130">
        <f t="shared" si="68"/>
        <v>3153.0301503000005</v>
      </c>
      <c r="K117" s="1130">
        <f t="shared" si="68"/>
        <v>3184.5604518030004</v>
      </c>
      <c r="L117" s="1130">
        <f t="shared" si="68"/>
        <v>3216.4060563210305</v>
      </c>
      <c r="M117" s="1130">
        <f t="shared" si="68"/>
        <v>3248.5701168842406</v>
      </c>
      <c r="N117" s="1130">
        <f t="shared" si="68"/>
        <v>3281.0558180530829</v>
      </c>
      <c r="O117" s="1130">
        <f t="shared" si="68"/>
        <v>3313.8663762336137</v>
      </c>
      <c r="P117" s="1130">
        <f t="shared" si="68"/>
        <v>3347.00503999595</v>
      </c>
      <c r="Q117" s="1132">
        <f t="shared" si="68"/>
        <v>3380.4750903959098</v>
      </c>
    </row>
    <row r="118" spans="2:17" ht="15.75" customHeight="1" outlineLevel="1" x14ac:dyDescent="0.25">
      <c r="C118" s="22" t="s">
        <v>878</v>
      </c>
      <c r="D118" s="354" t="s">
        <v>890</v>
      </c>
      <c r="E118" s="1130">
        <f>E117*2</f>
        <v>6000</v>
      </c>
      <c r="F118" s="1130">
        <f t="shared" ref="F118:F125" si="69">+E118*1.01</f>
        <v>6060</v>
      </c>
      <c r="G118" s="1130">
        <f t="shared" si="68"/>
        <v>6120.6</v>
      </c>
      <c r="H118" s="1131">
        <f t="shared" si="68"/>
        <v>6181.8060000000005</v>
      </c>
      <c r="I118" s="1130">
        <f t="shared" si="68"/>
        <v>6243.624060000001</v>
      </c>
      <c r="J118" s="1130">
        <f t="shared" si="68"/>
        <v>6306.060300600001</v>
      </c>
      <c r="K118" s="1130">
        <f t="shared" si="68"/>
        <v>6369.1209036060009</v>
      </c>
      <c r="L118" s="1130">
        <f t="shared" si="68"/>
        <v>6432.812112642061</v>
      </c>
      <c r="M118" s="1130">
        <f t="shared" si="68"/>
        <v>6497.1402337684813</v>
      </c>
      <c r="N118" s="1130">
        <f t="shared" si="68"/>
        <v>6562.1116361061659</v>
      </c>
      <c r="O118" s="1130">
        <f t="shared" si="68"/>
        <v>6627.7327524672273</v>
      </c>
      <c r="P118" s="1130">
        <f t="shared" si="68"/>
        <v>6694.0100799919001</v>
      </c>
      <c r="Q118" s="1132">
        <f t="shared" si="68"/>
        <v>6760.9501807918195</v>
      </c>
    </row>
    <row r="119" spans="2:17" ht="15.75" customHeight="1" outlineLevel="1" x14ac:dyDescent="0.25">
      <c r="C119" s="22" t="s">
        <v>879</v>
      </c>
      <c r="D119" s="354" t="s">
        <v>890</v>
      </c>
      <c r="E119" s="1130">
        <f t="shared" ref="E119:E125" si="70">E118*2</f>
        <v>12000</v>
      </c>
      <c r="F119" s="1130">
        <f t="shared" si="69"/>
        <v>12120</v>
      </c>
      <c r="G119" s="1130">
        <f t="shared" si="68"/>
        <v>12241.2</v>
      </c>
      <c r="H119" s="1131">
        <f t="shared" si="68"/>
        <v>12363.612000000001</v>
      </c>
      <c r="I119" s="1130">
        <f t="shared" si="68"/>
        <v>12487.248120000002</v>
      </c>
      <c r="J119" s="1130">
        <f t="shared" si="68"/>
        <v>12612.120601200002</v>
      </c>
      <c r="K119" s="1130">
        <f t="shared" si="68"/>
        <v>12738.241807212002</v>
      </c>
      <c r="L119" s="1130">
        <f t="shared" si="68"/>
        <v>12865.624225284122</v>
      </c>
      <c r="M119" s="1130">
        <f t="shared" si="68"/>
        <v>12994.280467536963</v>
      </c>
      <c r="N119" s="1130">
        <f t="shared" si="68"/>
        <v>13124.223272212332</v>
      </c>
      <c r="O119" s="1130">
        <f t="shared" si="68"/>
        <v>13255.465504934455</v>
      </c>
      <c r="P119" s="1130">
        <f t="shared" si="68"/>
        <v>13388.0201599838</v>
      </c>
      <c r="Q119" s="1132">
        <f t="shared" si="68"/>
        <v>13521.900361583639</v>
      </c>
    </row>
    <row r="120" spans="2:17" ht="15.75" customHeight="1" outlineLevel="1" x14ac:dyDescent="0.25">
      <c r="C120" s="22" t="s">
        <v>880</v>
      </c>
      <c r="D120" s="354" t="s">
        <v>890</v>
      </c>
      <c r="E120" s="1130">
        <f t="shared" si="70"/>
        <v>24000</v>
      </c>
      <c r="F120" s="1130">
        <f t="shared" si="69"/>
        <v>24240</v>
      </c>
      <c r="G120" s="1130">
        <f t="shared" si="68"/>
        <v>24482.400000000001</v>
      </c>
      <c r="H120" s="1131">
        <f t="shared" si="68"/>
        <v>24727.224000000002</v>
      </c>
      <c r="I120" s="1130">
        <f t="shared" si="68"/>
        <v>24974.496240000004</v>
      </c>
      <c r="J120" s="1130">
        <f t="shared" si="68"/>
        <v>25224.241202400004</v>
      </c>
      <c r="K120" s="1130">
        <f t="shared" si="68"/>
        <v>25476.483614424003</v>
      </c>
      <c r="L120" s="1130">
        <f t="shared" si="68"/>
        <v>25731.248450568244</v>
      </c>
      <c r="M120" s="1130">
        <f t="shared" si="68"/>
        <v>25988.560935073925</v>
      </c>
      <c r="N120" s="1130">
        <f t="shared" si="68"/>
        <v>26248.446544424663</v>
      </c>
      <c r="O120" s="1130">
        <f t="shared" si="68"/>
        <v>26510.931009868909</v>
      </c>
      <c r="P120" s="1130">
        <f t="shared" si="68"/>
        <v>26776.0403199676</v>
      </c>
      <c r="Q120" s="1132">
        <f t="shared" si="68"/>
        <v>27043.800723167278</v>
      </c>
    </row>
    <row r="121" spans="2:17" ht="15.75" customHeight="1" outlineLevel="1" x14ac:dyDescent="0.25">
      <c r="C121" s="22" t="s">
        <v>881</v>
      </c>
      <c r="D121" s="354" t="s">
        <v>890</v>
      </c>
      <c r="E121" s="1130">
        <f t="shared" si="70"/>
        <v>48000</v>
      </c>
      <c r="F121" s="1130">
        <f t="shared" si="69"/>
        <v>48480</v>
      </c>
      <c r="G121" s="1130">
        <f t="shared" si="68"/>
        <v>48964.800000000003</v>
      </c>
      <c r="H121" s="1131">
        <f t="shared" si="68"/>
        <v>49454.448000000004</v>
      </c>
      <c r="I121" s="1130">
        <f t="shared" si="68"/>
        <v>49948.992480000008</v>
      </c>
      <c r="J121" s="1130">
        <f t="shared" si="68"/>
        <v>50448.482404800008</v>
      </c>
      <c r="K121" s="1130">
        <f t="shared" si="68"/>
        <v>50952.967228848007</v>
      </c>
      <c r="L121" s="1130">
        <f t="shared" si="68"/>
        <v>51462.496901136488</v>
      </c>
      <c r="M121" s="1130">
        <f t="shared" si="68"/>
        <v>51977.12187014785</v>
      </c>
      <c r="N121" s="1130">
        <f t="shared" si="68"/>
        <v>52496.893088849327</v>
      </c>
      <c r="O121" s="1130">
        <f t="shared" si="68"/>
        <v>53021.862019737819</v>
      </c>
      <c r="P121" s="1130">
        <f t="shared" si="68"/>
        <v>53552.0806399352</v>
      </c>
      <c r="Q121" s="1132">
        <f t="shared" si="68"/>
        <v>54087.601446334556</v>
      </c>
    </row>
    <row r="122" spans="2:17" ht="15.75" customHeight="1" outlineLevel="1" x14ac:dyDescent="0.25">
      <c r="C122" s="22" t="s">
        <v>882</v>
      </c>
      <c r="D122" s="354" t="s">
        <v>890</v>
      </c>
      <c r="E122" s="1130">
        <f t="shared" si="70"/>
        <v>96000</v>
      </c>
      <c r="F122" s="1130">
        <f t="shared" si="69"/>
        <v>96960</v>
      </c>
      <c r="G122" s="1130">
        <f t="shared" si="68"/>
        <v>97929.600000000006</v>
      </c>
      <c r="H122" s="1131">
        <f t="shared" si="68"/>
        <v>98908.896000000008</v>
      </c>
      <c r="I122" s="1130">
        <f t="shared" si="68"/>
        <v>99897.984960000016</v>
      </c>
      <c r="J122" s="1130">
        <f t="shared" si="68"/>
        <v>100896.96480960002</v>
      </c>
      <c r="K122" s="1130">
        <f t="shared" si="68"/>
        <v>101905.93445769601</v>
      </c>
      <c r="L122" s="1130">
        <f t="shared" si="68"/>
        <v>102924.99380227298</v>
      </c>
      <c r="M122" s="1130">
        <f t="shared" si="68"/>
        <v>103954.2437402957</v>
      </c>
      <c r="N122" s="1130">
        <f t="shared" si="68"/>
        <v>104993.78617769865</v>
      </c>
      <c r="O122" s="1130">
        <f t="shared" si="68"/>
        <v>106043.72403947564</v>
      </c>
      <c r="P122" s="1130">
        <f t="shared" si="68"/>
        <v>107104.1612798704</v>
      </c>
      <c r="Q122" s="1132">
        <f t="shared" si="68"/>
        <v>108175.20289266911</v>
      </c>
    </row>
    <row r="123" spans="2:17" ht="15.75" customHeight="1" outlineLevel="1" x14ac:dyDescent="0.25">
      <c r="C123" s="22" t="s">
        <v>885</v>
      </c>
      <c r="D123" s="354" t="s">
        <v>890</v>
      </c>
      <c r="E123" s="1130">
        <f t="shared" si="70"/>
        <v>192000</v>
      </c>
      <c r="F123" s="1130">
        <f t="shared" si="69"/>
        <v>193920</v>
      </c>
      <c r="G123" s="1130">
        <f t="shared" si="68"/>
        <v>195859.20000000001</v>
      </c>
      <c r="H123" s="1131">
        <f t="shared" si="68"/>
        <v>197817.79200000002</v>
      </c>
      <c r="I123" s="1130">
        <f t="shared" si="68"/>
        <v>199795.96992000003</v>
      </c>
      <c r="J123" s="1130">
        <f t="shared" si="68"/>
        <v>201793.92961920003</v>
      </c>
      <c r="K123" s="1130">
        <f t="shared" si="68"/>
        <v>203811.86891539203</v>
      </c>
      <c r="L123" s="1130">
        <f t="shared" si="68"/>
        <v>205849.98760454595</v>
      </c>
      <c r="M123" s="1130">
        <f t="shared" si="68"/>
        <v>207908.4874805914</v>
      </c>
      <c r="N123" s="1130">
        <f t="shared" si="68"/>
        <v>209987.57235539731</v>
      </c>
      <c r="O123" s="1130">
        <f t="shared" si="68"/>
        <v>212087.44807895127</v>
      </c>
      <c r="P123" s="1130">
        <f t="shared" si="68"/>
        <v>214208.3225597408</v>
      </c>
      <c r="Q123" s="1132">
        <f t="shared" si="68"/>
        <v>216350.40578533823</v>
      </c>
    </row>
    <row r="124" spans="2:17" ht="15.75" customHeight="1" outlineLevel="1" x14ac:dyDescent="0.25">
      <c r="C124" s="22" t="s">
        <v>885</v>
      </c>
      <c r="D124" s="354" t="s">
        <v>890</v>
      </c>
      <c r="E124" s="1130">
        <f t="shared" si="70"/>
        <v>384000</v>
      </c>
      <c r="F124" s="1130">
        <f t="shared" si="69"/>
        <v>387840</v>
      </c>
      <c r="G124" s="1130">
        <f t="shared" si="68"/>
        <v>391718.40000000002</v>
      </c>
      <c r="H124" s="1131">
        <f t="shared" si="68"/>
        <v>395635.58400000003</v>
      </c>
      <c r="I124" s="1130">
        <f t="shared" si="68"/>
        <v>399591.93984000006</v>
      </c>
      <c r="J124" s="1130">
        <f t="shared" si="68"/>
        <v>403587.85923840007</v>
      </c>
      <c r="K124" s="1130">
        <f t="shared" si="68"/>
        <v>407623.73783078406</v>
      </c>
      <c r="L124" s="1130">
        <f t="shared" si="68"/>
        <v>411699.97520909191</v>
      </c>
      <c r="M124" s="1130">
        <f t="shared" si="68"/>
        <v>415816.9749611828</v>
      </c>
      <c r="N124" s="1130">
        <f t="shared" si="68"/>
        <v>419975.14471079462</v>
      </c>
      <c r="O124" s="1130">
        <f t="shared" si="68"/>
        <v>424174.89615790255</v>
      </c>
      <c r="P124" s="1130">
        <f t="shared" si="68"/>
        <v>428416.6451194816</v>
      </c>
      <c r="Q124" s="1132">
        <f t="shared" si="68"/>
        <v>432700.81157067645</v>
      </c>
    </row>
    <row r="125" spans="2:17" ht="15.75" customHeight="1" outlineLevel="1" x14ac:dyDescent="0.25">
      <c r="C125" s="29" t="s">
        <v>885</v>
      </c>
      <c r="D125" s="357" t="s">
        <v>890</v>
      </c>
      <c r="E125" s="1133">
        <f t="shared" si="70"/>
        <v>768000</v>
      </c>
      <c r="F125" s="1133">
        <f t="shared" si="69"/>
        <v>775680</v>
      </c>
      <c r="G125" s="1133">
        <f t="shared" si="68"/>
        <v>783436.80000000005</v>
      </c>
      <c r="H125" s="1134">
        <f t="shared" si="68"/>
        <v>791271.16800000006</v>
      </c>
      <c r="I125" s="1133">
        <f t="shared" si="68"/>
        <v>799183.87968000013</v>
      </c>
      <c r="J125" s="1133">
        <f t="shared" si="68"/>
        <v>807175.71847680013</v>
      </c>
      <c r="K125" s="1133">
        <f t="shared" si="68"/>
        <v>815247.47566156811</v>
      </c>
      <c r="L125" s="1133">
        <f t="shared" si="68"/>
        <v>823399.95041818381</v>
      </c>
      <c r="M125" s="1133">
        <f t="shared" si="68"/>
        <v>831633.9499223656</v>
      </c>
      <c r="N125" s="1133">
        <f t="shared" si="68"/>
        <v>839950.28942158923</v>
      </c>
      <c r="O125" s="1133">
        <f t="shared" si="68"/>
        <v>848349.7923158051</v>
      </c>
      <c r="P125" s="1133">
        <f t="shared" si="68"/>
        <v>856833.29023896321</v>
      </c>
      <c r="Q125" s="1135">
        <f t="shared" si="68"/>
        <v>865401.6231413529</v>
      </c>
    </row>
    <row r="126" spans="2:17" ht="15.75" customHeight="1" outlineLevel="1" x14ac:dyDescent="0.25"/>
    <row r="127" spans="2:17" ht="15.75" customHeight="1" outlineLevel="1" x14ac:dyDescent="0.25">
      <c r="C127" s="517" t="s">
        <v>886</v>
      </c>
      <c r="D127" s="1127"/>
      <c r="E127" s="1127"/>
      <c r="F127" s="1127"/>
      <c r="G127" s="1127"/>
      <c r="H127" s="1128"/>
      <c r="I127" s="1127"/>
      <c r="J127" s="1127"/>
      <c r="K127" s="1127"/>
      <c r="L127" s="1127"/>
      <c r="M127" s="1127"/>
      <c r="N127" s="1127"/>
      <c r="O127" s="1127"/>
      <c r="P127" s="1127"/>
      <c r="Q127" s="1129"/>
    </row>
    <row r="128" spans="2:17" ht="15.75" customHeight="1" outlineLevel="1" thickBot="1" x14ac:dyDescent="0.3">
      <c r="C128" s="366" t="s">
        <v>883</v>
      </c>
      <c r="D128" s="1143" t="s">
        <v>884</v>
      </c>
      <c r="E128" s="59" t="str">
        <f>+E115</f>
        <v>2013</v>
      </c>
      <c r="F128" s="59" t="str">
        <f t="shared" ref="F128:Q128" si="71">+F115</f>
        <v>2014</v>
      </c>
      <c r="G128" s="59" t="str">
        <f t="shared" si="71"/>
        <v>2015</v>
      </c>
      <c r="H128" s="58">
        <f t="shared" si="71"/>
        <v>2016</v>
      </c>
      <c r="I128" s="59">
        <f t="shared" si="71"/>
        <v>2017</v>
      </c>
      <c r="J128" s="59">
        <f t="shared" si="71"/>
        <v>2018</v>
      </c>
      <c r="K128" s="59">
        <f t="shared" si="71"/>
        <v>2019</v>
      </c>
      <c r="L128" s="59">
        <f t="shared" si="71"/>
        <v>2020</v>
      </c>
      <c r="M128" s="59">
        <f t="shared" si="71"/>
        <v>2021</v>
      </c>
      <c r="N128" s="59">
        <f t="shared" si="71"/>
        <v>2022</v>
      </c>
      <c r="O128" s="59">
        <f t="shared" si="71"/>
        <v>2023</v>
      </c>
      <c r="P128" s="59">
        <f t="shared" si="71"/>
        <v>2024</v>
      </c>
      <c r="Q128" s="60">
        <f t="shared" si="71"/>
        <v>2025</v>
      </c>
    </row>
    <row r="129" spans="3:17" ht="15.75" customHeight="1" outlineLevel="1" x14ac:dyDescent="0.25">
      <c r="C129" s="22" t="s">
        <v>876</v>
      </c>
      <c r="D129" s="1136" t="s">
        <v>525</v>
      </c>
      <c r="E129" s="1130">
        <v>1000</v>
      </c>
      <c r="F129" s="1130">
        <f>+E129+75</f>
        <v>1075</v>
      </c>
      <c r="G129" s="1130">
        <f t="shared" ref="G129:Q129" si="72">+F129+75</f>
        <v>1150</v>
      </c>
      <c r="H129" s="1131">
        <f t="shared" si="72"/>
        <v>1225</v>
      </c>
      <c r="I129" s="1130">
        <f t="shared" si="72"/>
        <v>1300</v>
      </c>
      <c r="J129" s="1130">
        <f t="shared" si="72"/>
        <v>1375</v>
      </c>
      <c r="K129" s="1130">
        <f t="shared" si="72"/>
        <v>1450</v>
      </c>
      <c r="L129" s="1130">
        <f t="shared" si="72"/>
        <v>1525</v>
      </c>
      <c r="M129" s="1130">
        <f t="shared" si="72"/>
        <v>1600</v>
      </c>
      <c r="N129" s="1130">
        <f t="shared" si="72"/>
        <v>1675</v>
      </c>
      <c r="O129" s="1130">
        <f t="shared" si="72"/>
        <v>1750</v>
      </c>
      <c r="P129" s="1130">
        <f t="shared" si="72"/>
        <v>1825</v>
      </c>
      <c r="Q129" s="1132">
        <f t="shared" si="72"/>
        <v>1900</v>
      </c>
    </row>
    <row r="130" spans="3:17" ht="15.75" customHeight="1" outlineLevel="1" x14ac:dyDescent="0.25">
      <c r="C130" s="22" t="s">
        <v>877</v>
      </c>
      <c r="D130" s="1136" t="s">
        <v>525</v>
      </c>
      <c r="E130" s="1130">
        <f>E129*75</f>
        <v>75000</v>
      </c>
      <c r="F130" s="1130">
        <f>+E130*1.01</f>
        <v>75750</v>
      </c>
      <c r="G130" s="1130">
        <f t="shared" ref="G130:Q138" si="73">+F130*1.01</f>
        <v>76507.5</v>
      </c>
      <c r="H130" s="1131">
        <f t="shared" si="73"/>
        <v>77272.574999999997</v>
      </c>
      <c r="I130" s="1130">
        <f t="shared" si="73"/>
        <v>78045.300749999995</v>
      </c>
      <c r="J130" s="1130">
        <f t="shared" si="73"/>
        <v>78825.753757500002</v>
      </c>
      <c r="K130" s="1130">
        <f t="shared" si="73"/>
        <v>79614.011295075004</v>
      </c>
      <c r="L130" s="1130">
        <f t="shared" si="73"/>
        <v>80410.151408025762</v>
      </c>
      <c r="M130" s="1130">
        <f t="shared" si="73"/>
        <v>81214.252922106025</v>
      </c>
      <c r="N130" s="1130">
        <f t="shared" si="73"/>
        <v>82026.395451327087</v>
      </c>
      <c r="O130" s="1130">
        <f t="shared" si="73"/>
        <v>82846.659405840357</v>
      </c>
      <c r="P130" s="1130">
        <f t="shared" si="73"/>
        <v>83675.125999898766</v>
      </c>
      <c r="Q130" s="1132">
        <f t="shared" si="73"/>
        <v>84511.877259897752</v>
      </c>
    </row>
    <row r="131" spans="3:17" ht="15.75" customHeight="1" outlineLevel="1" x14ac:dyDescent="0.25">
      <c r="C131" s="22" t="s">
        <v>878</v>
      </c>
      <c r="D131" s="1136" t="s">
        <v>525</v>
      </c>
      <c r="E131" s="1130">
        <f>E130*2</f>
        <v>150000</v>
      </c>
      <c r="F131" s="1130">
        <f>+E131*1.01</f>
        <v>151500</v>
      </c>
      <c r="G131" s="1130">
        <f t="shared" si="73"/>
        <v>153015</v>
      </c>
      <c r="H131" s="1131">
        <f t="shared" si="73"/>
        <v>154545.15</v>
      </c>
      <c r="I131" s="1130">
        <f t="shared" si="73"/>
        <v>156090.60149999999</v>
      </c>
      <c r="J131" s="1130">
        <f t="shared" si="73"/>
        <v>157651.507515</v>
      </c>
      <c r="K131" s="1130">
        <f t="shared" si="73"/>
        <v>159228.02259015001</v>
      </c>
      <c r="L131" s="1130">
        <f t="shared" si="73"/>
        <v>160820.30281605152</v>
      </c>
      <c r="M131" s="1130">
        <f t="shared" si="73"/>
        <v>162428.50584421205</v>
      </c>
      <c r="N131" s="1130">
        <f t="shared" si="73"/>
        <v>164052.79090265417</v>
      </c>
      <c r="O131" s="1130">
        <f t="shared" si="73"/>
        <v>165693.31881168071</v>
      </c>
      <c r="P131" s="1130">
        <f t="shared" si="73"/>
        <v>167350.25199979753</v>
      </c>
      <c r="Q131" s="1132">
        <f t="shared" si="73"/>
        <v>169023.7545197955</v>
      </c>
    </row>
    <row r="132" spans="3:17" ht="15.75" customHeight="1" outlineLevel="1" x14ac:dyDescent="0.25">
      <c r="C132" s="22" t="s">
        <v>879</v>
      </c>
      <c r="D132" s="1136" t="s">
        <v>525</v>
      </c>
      <c r="E132" s="1130">
        <f>E131*2</f>
        <v>300000</v>
      </c>
      <c r="F132" s="1130">
        <f>+E132*1.01</f>
        <v>303000</v>
      </c>
      <c r="G132" s="1130">
        <f t="shared" si="73"/>
        <v>306030</v>
      </c>
      <c r="H132" s="1131">
        <f t="shared" si="73"/>
        <v>309090.3</v>
      </c>
      <c r="I132" s="1130">
        <f t="shared" si="73"/>
        <v>312181.20299999998</v>
      </c>
      <c r="J132" s="1130">
        <f t="shared" si="73"/>
        <v>315303.01503000001</v>
      </c>
      <c r="K132" s="1130">
        <f t="shared" si="73"/>
        <v>318456.04518030002</v>
      </c>
      <c r="L132" s="1130">
        <f t="shared" si="73"/>
        <v>321640.60563210305</v>
      </c>
      <c r="M132" s="1130">
        <f t="shared" si="73"/>
        <v>324857.0116884241</v>
      </c>
      <c r="N132" s="1130">
        <f t="shared" si="73"/>
        <v>328105.58180530835</v>
      </c>
      <c r="O132" s="1130">
        <f t="shared" si="73"/>
        <v>331386.63762336143</v>
      </c>
      <c r="P132" s="1130">
        <f t="shared" si="73"/>
        <v>334700.50399959506</v>
      </c>
      <c r="Q132" s="1132">
        <f t="shared" si="73"/>
        <v>338047.50903959101</v>
      </c>
    </row>
    <row r="133" spans="3:17" ht="15.75" customHeight="1" outlineLevel="1" x14ac:dyDescent="0.25">
      <c r="C133" s="22" t="s">
        <v>880</v>
      </c>
      <c r="D133" s="1136" t="s">
        <v>525</v>
      </c>
      <c r="E133" s="1130">
        <f>E132*0.2</f>
        <v>60000</v>
      </c>
      <c r="F133" s="1130">
        <f t="shared" ref="F133:G136" si="74">+E133*1.1</f>
        <v>66000</v>
      </c>
      <c r="G133" s="1130">
        <f t="shared" si="74"/>
        <v>72600</v>
      </c>
      <c r="H133" s="1131">
        <f t="shared" si="73"/>
        <v>73326</v>
      </c>
      <c r="I133" s="1130">
        <f t="shared" si="73"/>
        <v>74059.259999999995</v>
      </c>
      <c r="J133" s="1130">
        <f t="shared" si="73"/>
        <v>74799.852599999998</v>
      </c>
      <c r="K133" s="1130">
        <f t="shared" si="73"/>
        <v>75547.851125999994</v>
      </c>
      <c r="L133" s="1130">
        <f t="shared" si="73"/>
        <v>76303.329637260002</v>
      </c>
      <c r="M133" s="1130">
        <f t="shared" si="73"/>
        <v>77066.362933632598</v>
      </c>
      <c r="N133" s="1130">
        <f t="shared" si="73"/>
        <v>77837.026562968924</v>
      </c>
      <c r="O133" s="1130">
        <f t="shared" si="73"/>
        <v>78615.396828598619</v>
      </c>
      <c r="P133" s="1130">
        <f t="shared" si="73"/>
        <v>79401.550796884607</v>
      </c>
      <c r="Q133" s="1132">
        <f t="shared" si="73"/>
        <v>80195.566304853448</v>
      </c>
    </row>
    <row r="134" spans="3:17" ht="15.75" customHeight="1" outlineLevel="1" x14ac:dyDescent="0.25">
      <c r="C134" s="22" t="s">
        <v>881</v>
      </c>
      <c r="D134" s="1136" t="s">
        <v>525</v>
      </c>
      <c r="E134" s="1130">
        <f>E133*0.1</f>
        <v>6000</v>
      </c>
      <c r="F134" s="1130">
        <f t="shared" si="74"/>
        <v>6600.0000000000009</v>
      </c>
      <c r="G134" s="1130">
        <f t="shared" si="74"/>
        <v>7260.0000000000018</v>
      </c>
      <c r="H134" s="1131">
        <f t="shared" si="73"/>
        <v>7332.6000000000022</v>
      </c>
      <c r="I134" s="1130">
        <f t="shared" si="73"/>
        <v>7405.9260000000022</v>
      </c>
      <c r="J134" s="1130">
        <f t="shared" si="73"/>
        <v>7479.9852600000022</v>
      </c>
      <c r="K134" s="1130">
        <f t="shared" si="73"/>
        <v>7554.7851126000023</v>
      </c>
      <c r="L134" s="1130">
        <f t="shared" si="73"/>
        <v>7630.3329637260022</v>
      </c>
      <c r="M134" s="1130">
        <f t="shared" si="73"/>
        <v>7706.6362933632627</v>
      </c>
      <c r="N134" s="1130">
        <f t="shared" si="73"/>
        <v>7783.7026562968949</v>
      </c>
      <c r="O134" s="1130">
        <f t="shared" si="73"/>
        <v>7861.5396828598641</v>
      </c>
      <c r="P134" s="1130">
        <f t="shared" si="73"/>
        <v>7940.155079688463</v>
      </c>
      <c r="Q134" s="1132">
        <f t="shared" si="73"/>
        <v>8019.5566304853473</v>
      </c>
    </row>
    <row r="135" spans="3:17" ht="15.75" customHeight="1" outlineLevel="1" x14ac:dyDescent="0.25">
      <c r="C135" s="22" t="s">
        <v>882</v>
      </c>
      <c r="D135" s="1136" t="s">
        <v>525</v>
      </c>
      <c r="E135" s="1130">
        <f>E134*2</f>
        <v>12000</v>
      </c>
      <c r="F135" s="1130">
        <f t="shared" si="74"/>
        <v>13200.000000000002</v>
      </c>
      <c r="G135" s="1130">
        <f t="shared" si="74"/>
        <v>14520.000000000004</v>
      </c>
      <c r="H135" s="1131">
        <f t="shared" si="73"/>
        <v>14665.200000000004</v>
      </c>
      <c r="I135" s="1130">
        <f t="shared" si="73"/>
        <v>14811.852000000004</v>
      </c>
      <c r="J135" s="1130">
        <f t="shared" si="73"/>
        <v>14959.970520000004</v>
      </c>
      <c r="K135" s="1130">
        <f t="shared" si="73"/>
        <v>15109.570225200005</v>
      </c>
      <c r="L135" s="1130">
        <f t="shared" si="73"/>
        <v>15260.665927452004</v>
      </c>
      <c r="M135" s="1130">
        <f t="shared" si="73"/>
        <v>15413.272586726525</v>
      </c>
      <c r="N135" s="1130">
        <f t="shared" si="73"/>
        <v>15567.40531259379</v>
      </c>
      <c r="O135" s="1130">
        <f t="shared" si="73"/>
        <v>15723.079365719728</v>
      </c>
      <c r="P135" s="1130">
        <f t="shared" si="73"/>
        <v>15880.310159376926</v>
      </c>
      <c r="Q135" s="1132">
        <f t="shared" si="73"/>
        <v>16039.113260970695</v>
      </c>
    </row>
    <row r="136" spans="3:17" ht="15.75" customHeight="1" outlineLevel="1" x14ac:dyDescent="0.25">
      <c r="C136" s="22" t="s">
        <v>885</v>
      </c>
      <c r="D136" s="1136" t="s">
        <v>525</v>
      </c>
      <c r="E136" s="1130">
        <f>E135*1.59445</f>
        <v>19133.399999999998</v>
      </c>
      <c r="F136" s="1130">
        <f t="shared" si="74"/>
        <v>21046.739999999998</v>
      </c>
      <c r="G136" s="1130">
        <f t="shared" si="74"/>
        <v>23151.414000000001</v>
      </c>
      <c r="H136" s="1131">
        <f t="shared" si="73"/>
        <v>23382.92814</v>
      </c>
      <c r="I136" s="1130">
        <f t="shared" si="73"/>
        <v>23616.757421400001</v>
      </c>
      <c r="J136" s="1130">
        <f t="shared" si="73"/>
        <v>23852.924995614001</v>
      </c>
      <c r="K136" s="1130">
        <f t="shared" si="73"/>
        <v>24091.454245570141</v>
      </c>
      <c r="L136" s="1130">
        <f t="shared" si="73"/>
        <v>24332.368788025844</v>
      </c>
      <c r="M136" s="1130">
        <f t="shared" si="73"/>
        <v>24575.692475906104</v>
      </c>
      <c r="N136" s="1130">
        <f t="shared" si="73"/>
        <v>24821.449400665166</v>
      </c>
      <c r="O136" s="1130">
        <f t="shared" si="73"/>
        <v>25069.663894671819</v>
      </c>
      <c r="P136" s="1130">
        <f t="shared" si="73"/>
        <v>25320.360533618539</v>
      </c>
      <c r="Q136" s="1132">
        <f t="shared" si="73"/>
        <v>25573.564138954724</v>
      </c>
    </row>
    <row r="137" spans="3:17" ht="15.75" customHeight="1" outlineLevel="1" x14ac:dyDescent="0.25">
      <c r="C137" s="22" t="s">
        <v>885</v>
      </c>
      <c r="D137" s="1136" t="s">
        <v>525</v>
      </c>
      <c r="E137" s="1130">
        <f>E136*1.2/10</f>
        <v>2296.0079999999998</v>
      </c>
      <c r="F137" s="1130">
        <f>+E137*0.678</f>
        <v>1556.6934240000001</v>
      </c>
      <c r="G137" s="1130">
        <f>+F137*1.49</f>
        <v>2319.4732017599999</v>
      </c>
      <c r="H137" s="1131">
        <f t="shared" si="73"/>
        <v>2342.6679337776</v>
      </c>
      <c r="I137" s="1130">
        <f t="shared" si="73"/>
        <v>2366.094613115376</v>
      </c>
      <c r="J137" s="1130">
        <f t="shared" si="73"/>
        <v>2389.7555592465296</v>
      </c>
      <c r="K137" s="1130">
        <f t="shared" si="73"/>
        <v>2413.653114838995</v>
      </c>
      <c r="L137" s="1130">
        <f t="shared" si="73"/>
        <v>2437.789645987385</v>
      </c>
      <c r="M137" s="1130">
        <f t="shared" si="73"/>
        <v>2462.1675424472587</v>
      </c>
      <c r="N137" s="1130">
        <f t="shared" si="73"/>
        <v>2486.7892178717311</v>
      </c>
      <c r="O137" s="1130">
        <f t="shared" si="73"/>
        <v>2511.6571100504484</v>
      </c>
      <c r="P137" s="1130">
        <f t="shared" si="73"/>
        <v>2536.7736811509531</v>
      </c>
      <c r="Q137" s="1132">
        <f t="shared" si="73"/>
        <v>2562.1414179624626</v>
      </c>
    </row>
    <row r="138" spans="3:17" ht="15.75" customHeight="1" outlineLevel="1" x14ac:dyDescent="0.25">
      <c r="C138" s="29" t="s">
        <v>885</v>
      </c>
      <c r="D138" s="1137" t="s">
        <v>525</v>
      </c>
      <c r="E138" s="1133">
        <f>E137*2/100</f>
        <v>45.920159999999996</v>
      </c>
      <c r="F138" s="1133">
        <f>+E138*1.01</f>
        <v>46.379361599999996</v>
      </c>
      <c r="G138" s="1133">
        <f>+F138*1.01</f>
        <v>46.843155216</v>
      </c>
      <c r="H138" s="1134">
        <f t="shared" si="73"/>
        <v>47.311586768159998</v>
      </c>
      <c r="I138" s="1133">
        <f t="shared" si="73"/>
        <v>47.784702635841597</v>
      </c>
      <c r="J138" s="1133">
        <f t="shared" si="73"/>
        <v>48.262549662200016</v>
      </c>
      <c r="K138" s="1133">
        <f t="shared" si="73"/>
        <v>48.745175158822015</v>
      </c>
      <c r="L138" s="1133">
        <f t="shared" si="73"/>
        <v>49.232626910410232</v>
      </c>
      <c r="M138" s="1133">
        <f t="shared" si="73"/>
        <v>49.724953179514337</v>
      </c>
      <c r="N138" s="1133">
        <f t="shared" si="73"/>
        <v>50.222202711309478</v>
      </c>
      <c r="O138" s="1133">
        <f t="shared" si="73"/>
        <v>50.72442473842257</v>
      </c>
      <c r="P138" s="1133">
        <f t="shared" si="73"/>
        <v>51.231668985806799</v>
      </c>
      <c r="Q138" s="1135">
        <f t="shared" si="73"/>
        <v>51.743985675664867</v>
      </c>
    </row>
    <row r="139" spans="3:17" s="526" customFormat="1" ht="15.75" customHeight="1" outlineLevel="1" x14ac:dyDescent="0.25"/>
    <row r="140" spans="3:17" s="526" customFormat="1" ht="15.75" customHeight="1" outlineLevel="1" x14ac:dyDescent="0.25">
      <c r="C140" s="517" t="s">
        <v>904</v>
      </c>
      <c r="D140" s="1127"/>
      <c r="E140" s="1127"/>
      <c r="F140" s="1127"/>
      <c r="G140" s="1127"/>
      <c r="H140" s="1128"/>
      <c r="I140" s="1127"/>
      <c r="J140" s="1127"/>
      <c r="K140" s="1127"/>
      <c r="L140" s="1127"/>
      <c r="M140" s="1127"/>
      <c r="N140" s="1127"/>
      <c r="O140" s="1127"/>
      <c r="P140" s="1127"/>
      <c r="Q140" s="1129"/>
    </row>
    <row r="141" spans="3:17" s="526" customFormat="1" ht="15.75" customHeight="1" outlineLevel="1" thickBot="1" x14ac:dyDescent="0.3">
      <c r="C141" s="366" t="s">
        <v>883</v>
      </c>
      <c r="D141" s="1142" t="s">
        <v>884</v>
      </c>
      <c r="E141" s="59" t="str">
        <f>E128</f>
        <v>2013</v>
      </c>
      <c r="F141" s="59" t="str">
        <f t="shared" ref="F141:Q141" si="75">F128</f>
        <v>2014</v>
      </c>
      <c r="G141" s="59" t="str">
        <f t="shared" si="75"/>
        <v>2015</v>
      </c>
      <c r="H141" s="58">
        <f t="shared" si="75"/>
        <v>2016</v>
      </c>
      <c r="I141" s="59">
        <f t="shared" si="75"/>
        <v>2017</v>
      </c>
      <c r="J141" s="59">
        <f t="shared" si="75"/>
        <v>2018</v>
      </c>
      <c r="K141" s="59">
        <f t="shared" si="75"/>
        <v>2019</v>
      </c>
      <c r="L141" s="59">
        <f t="shared" si="75"/>
        <v>2020</v>
      </c>
      <c r="M141" s="59">
        <f t="shared" si="75"/>
        <v>2021</v>
      </c>
      <c r="N141" s="59">
        <f t="shared" si="75"/>
        <v>2022</v>
      </c>
      <c r="O141" s="59">
        <f t="shared" si="75"/>
        <v>2023</v>
      </c>
      <c r="P141" s="59">
        <f t="shared" si="75"/>
        <v>2024</v>
      </c>
      <c r="Q141" s="60">
        <f t="shared" si="75"/>
        <v>2025</v>
      </c>
    </row>
    <row r="142" spans="3:17" s="526" customFormat="1" ht="15.75" customHeight="1" outlineLevel="1" x14ac:dyDescent="0.25">
      <c r="C142" s="22" t="s">
        <v>876</v>
      </c>
      <c r="D142" s="354" t="s">
        <v>525</v>
      </c>
      <c r="E142" s="862">
        <f>E116*E129/1000000</f>
        <v>0.1</v>
      </c>
      <c r="F142" s="862">
        <f t="shared" ref="F142:Q142" si="76">F116*F129/1000000</f>
        <v>0.18812499999999999</v>
      </c>
      <c r="G142" s="862">
        <f t="shared" si="76"/>
        <v>0.28749999999999998</v>
      </c>
      <c r="H142" s="1138">
        <f t="shared" si="76"/>
        <v>0.39812500000000001</v>
      </c>
      <c r="I142" s="862">
        <f t="shared" si="76"/>
        <v>0.52</v>
      </c>
      <c r="J142" s="862">
        <f t="shared" si="76"/>
        <v>0.65312499999999996</v>
      </c>
      <c r="K142" s="862">
        <f t="shared" si="76"/>
        <v>0.79749999999999999</v>
      </c>
      <c r="L142" s="862">
        <f t="shared" si="76"/>
        <v>0.953125</v>
      </c>
      <c r="M142" s="862">
        <f t="shared" si="76"/>
        <v>1.1200000000000001</v>
      </c>
      <c r="N142" s="862">
        <f t="shared" si="76"/>
        <v>1.298125</v>
      </c>
      <c r="O142" s="862">
        <f t="shared" si="76"/>
        <v>1.4875</v>
      </c>
      <c r="P142" s="862">
        <f t="shared" si="76"/>
        <v>1.6881250000000001</v>
      </c>
      <c r="Q142" s="1116">
        <f t="shared" si="76"/>
        <v>1.9</v>
      </c>
    </row>
    <row r="143" spans="3:17" s="526" customFormat="1" ht="15.75" customHeight="1" outlineLevel="1" x14ac:dyDescent="0.25">
      <c r="C143" s="22" t="s">
        <v>877</v>
      </c>
      <c r="D143" s="354" t="s">
        <v>525</v>
      </c>
      <c r="E143" s="862">
        <f t="shared" ref="E143:Q151" si="77">E117*E130/1000000</f>
        <v>225</v>
      </c>
      <c r="F143" s="862">
        <f t="shared" si="77"/>
        <v>229.52250000000001</v>
      </c>
      <c r="G143" s="862">
        <f t="shared" si="77"/>
        <v>234.13590224999999</v>
      </c>
      <c r="H143" s="1138">
        <f t="shared" si="77"/>
        <v>238.84203388522499</v>
      </c>
      <c r="I143" s="862">
        <f t="shared" si="77"/>
        <v>243.64275876631805</v>
      </c>
      <c r="J143" s="862">
        <f t="shared" si="77"/>
        <v>248.53997821752108</v>
      </c>
      <c r="K143" s="862">
        <f t="shared" si="77"/>
        <v>253.53563177969323</v>
      </c>
      <c r="L143" s="862">
        <f t="shared" si="77"/>
        <v>258.63169797846513</v>
      </c>
      <c r="M143" s="862">
        <f t="shared" si="77"/>
        <v>263.83019510783225</v>
      </c>
      <c r="N143" s="862">
        <f t="shared" si="77"/>
        <v>269.13318202949966</v>
      </c>
      <c r="O143" s="862">
        <f t="shared" si="77"/>
        <v>274.54275898829263</v>
      </c>
      <c r="P143" s="862">
        <f t="shared" si="77"/>
        <v>280.06106844395731</v>
      </c>
      <c r="Q143" s="1116">
        <f t="shared" si="77"/>
        <v>285.69029591968092</v>
      </c>
    </row>
    <row r="144" spans="3:17" s="526" customFormat="1" ht="15.75" customHeight="1" outlineLevel="1" x14ac:dyDescent="0.25">
      <c r="C144" s="22" t="s">
        <v>878</v>
      </c>
      <c r="D144" s="354" t="s">
        <v>525</v>
      </c>
      <c r="E144" s="862">
        <f t="shared" si="77"/>
        <v>900</v>
      </c>
      <c r="F144" s="862">
        <f t="shared" si="77"/>
        <v>918.09</v>
      </c>
      <c r="G144" s="862">
        <f t="shared" si="77"/>
        <v>936.54360899999995</v>
      </c>
      <c r="H144" s="1138">
        <f t="shared" si="77"/>
        <v>955.36813554089997</v>
      </c>
      <c r="I144" s="862">
        <f t="shared" si="77"/>
        <v>974.57103506527221</v>
      </c>
      <c r="J144" s="862">
        <f t="shared" si="77"/>
        <v>994.15991287008433</v>
      </c>
      <c r="K144" s="862">
        <f t="shared" si="77"/>
        <v>1014.1425271187729</v>
      </c>
      <c r="L144" s="862">
        <f t="shared" si="77"/>
        <v>1034.5267919138605</v>
      </c>
      <c r="M144" s="862">
        <f t="shared" si="77"/>
        <v>1055.320780431329</v>
      </c>
      <c r="N144" s="862">
        <f t="shared" si="77"/>
        <v>1076.5327281179987</v>
      </c>
      <c r="O144" s="862">
        <f t="shared" si="77"/>
        <v>1098.1710359531705</v>
      </c>
      <c r="P144" s="862">
        <f t="shared" si="77"/>
        <v>1120.2442737758292</v>
      </c>
      <c r="Q144" s="1116">
        <f t="shared" si="77"/>
        <v>1142.7611836787237</v>
      </c>
    </row>
    <row r="145" spans="2:21" s="526" customFormat="1" ht="15.75" customHeight="1" outlineLevel="1" x14ac:dyDescent="0.25">
      <c r="C145" s="22" t="s">
        <v>879</v>
      </c>
      <c r="D145" s="354" t="s">
        <v>525</v>
      </c>
      <c r="E145" s="862">
        <f t="shared" si="77"/>
        <v>3600</v>
      </c>
      <c r="F145" s="862">
        <f t="shared" si="77"/>
        <v>3672.36</v>
      </c>
      <c r="G145" s="862">
        <f t="shared" si="77"/>
        <v>3746.1744359999998</v>
      </c>
      <c r="H145" s="1138">
        <f t="shared" si="77"/>
        <v>3821.4725421635999</v>
      </c>
      <c r="I145" s="862">
        <f t="shared" si="77"/>
        <v>3898.2841402610889</v>
      </c>
      <c r="J145" s="862">
        <f t="shared" si="77"/>
        <v>3976.6396514803373</v>
      </c>
      <c r="K145" s="862">
        <f t="shared" si="77"/>
        <v>4056.5701084750917</v>
      </c>
      <c r="L145" s="862">
        <f t="shared" si="77"/>
        <v>4138.107167655442</v>
      </c>
      <c r="M145" s="862">
        <f t="shared" si="77"/>
        <v>4221.2831217253161</v>
      </c>
      <c r="N145" s="862">
        <f t="shared" si="77"/>
        <v>4306.1309124719946</v>
      </c>
      <c r="O145" s="862">
        <f t="shared" si="77"/>
        <v>4392.6841438126821</v>
      </c>
      <c r="P145" s="862">
        <f t="shared" si="77"/>
        <v>4480.977095103317</v>
      </c>
      <c r="Q145" s="1116">
        <f t="shared" si="77"/>
        <v>4571.0447347148947</v>
      </c>
    </row>
    <row r="146" spans="2:21" s="526" customFormat="1" ht="15.75" customHeight="1" outlineLevel="1" x14ac:dyDescent="0.25">
      <c r="C146" s="22" t="s">
        <v>880</v>
      </c>
      <c r="D146" s="354" t="s">
        <v>525</v>
      </c>
      <c r="E146" s="862">
        <f t="shared" si="77"/>
        <v>1440</v>
      </c>
      <c r="F146" s="862">
        <f t="shared" si="77"/>
        <v>1599.84</v>
      </c>
      <c r="G146" s="862">
        <f t="shared" si="77"/>
        <v>1777.4222400000001</v>
      </c>
      <c r="H146" s="1138">
        <f t="shared" si="77"/>
        <v>1813.1484270240001</v>
      </c>
      <c r="I146" s="862">
        <f t="shared" si="77"/>
        <v>1849.5927104071825</v>
      </c>
      <c r="J146" s="862">
        <f t="shared" si="77"/>
        <v>1886.7695238863671</v>
      </c>
      <c r="K146" s="862">
        <f t="shared" si="77"/>
        <v>1924.6935913164828</v>
      </c>
      <c r="L146" s="862">
        <f t="shared" si="77"/>
        <v>1963.3799325019443</v>
      </c>
      <c r="M146" s="862">
        <f t="shared" si="77"/>
        <v>2002.8438691452332</v>
      </c>
      <c r="N146" s="862">
        <f t="shared" si="77"/>
        <v>2043.1010309150524</v>
      </c>
      <c r="O146" s="862">
        <f t="shared" si="77"/>
        <v>2084.1673616364451</v>
      </c>
      <c r="P146" s="862">
        <f t="shared" si="77"/>
        <v>2126.0591256053381</v>
      </c>
      <c r="Q146" s="1116">
        <f t="shared" si="77"/>
        <v>2168.7929140300048</v>
      </c>
    </row>
    <row r="147" spans="2:21" s="526" customFormat="1" ht="15.75" customHeight="1" outlineLevel="1" x14ac:dyDescent="0.25">
      <c r="C147" s="22" t="s">
        <v>881</v>
      </c>
      <c r="D147" s="354" t="s">
        <v>525</v>
      </c>
      <c r="E147" s="862">
        <f t="shared" si="77"/>
        <v>288</v>
      </c>
      <c r="F147" s="862">
        <f t="shared" si="77"/>
        <v>319.96800000000007</v>
      </c>
      <c r="G147" s="862">
        <f t="shared" si="77"/>
        <v>355.4844480000001</v>
      </c>
      <c r="H147" s="1138">
        <f t="shared" si="77"/>
        <v>362.62968540480011</v>
      </c>
      <c r="I147" s="862">
        <f t="shared" si="77"/>
        <v>369.91854208143661</v>
      </c>
      <c r="J147" s="862">
        <f t="shared" si="77"/>
        <v>377.35390477727356</v>
      </c>
      <c r="K147" s="862">
        <f t="shared" si="77"/>
        <v>384.93871826329672</v>
      </c>
      <c r="L147" s="862">
        <f t="shared" si="77"/>
        <v>392.675986500389</v>
      </c>
      <c r="M147" s="862">
        <f t="shared" si="77"/>
        <v>400.56877382904679</v>
      </c>
      <c r="N147" s="862">
        <f t="shared" si="77"/>
        <v>408.62020618301062</v>
      </c>
      <c r="O147" s="862">
        <f t="shared" si="77"/>
        <v>416.83347232728909</v>
      </c>
      <c r="P147" s="862">
        <f t="shared" si="77"/>
        <v>425.2118251210677</v>
      </c>
      <c r="Q147" s="1116">
        <f t="shared" si="77"/>
        <v>433.75858280600113</v>
      </c>
    </row>
    <row r="148" spans="2:21" s="526" customFormat="1" ht="15.75" customHeight="1" outlineLevel="1" x14ac:dyDescent="0.25">
      <c r="C148" s="22" t="s">
        <v>882</v>
      </c>
      <c r="D148" s="354" t="s">
        <v>525</v>
      </c>
      <c r="E148" s="862">
        <f t="shared" si="77"/>
        <v>1152</v>
      </c>
      <c r="F148" s="862">
        <f t="shared" si="77"/>
        <v>1279.8720000000003</v>
      </c>
      <c r="G148" s="862">
        <f t="shared" si="77"/>
        <v>1421.9377920000004</v>
      </c>
      <c r="H148" s="1138">
        <f t="shared" si="77"/>
        <v>1450.5187416192005</v>
      </c>
      <c r="I148" s="862">
        <f t="shared" si="77"/>
        <v>1479.6741683257465</v>
      </c>
      <c r="J148" s="862">
        <f t="shared" si="77"/>
        <v>1509.4156191090942</v>
      </c>
      <c r="K148" s="862">
        <f t="shared" si="77"/>
        <v>1539.7548730531869</v>
      </c>
      <c r="L148" s="862">
        <f t="shared" si="77"/>
        <v>1570.703946001556</v>
      </c>
      <c r="M148" s="862">
        <f t="shared" si="77"/>
        <v>1602.2750953161872</v>
      </c>
      <c r="N148" s="862">
        <f t="shared" si="77"/>
        <v>1634.4808247320425</v>
      </c>
      <c r="O148" s="862">
        <f t="shared" si="77"/>
        <v>1667.3338893091563</v>
      </c>
      <c r="P148" s="862">
        <f t="shared" si="77"/>
        <v>1700.8473004842708</v>
      </c>
      <c r="Q148" s="1116">
        <f t="shared" si="77"/>
        <v>1735.0343312240045</v>
      </c>
    </row>
    <row r="149" spans="2:21" s="526" customFormat="1" ht="15.75" customHeight="1" outlineLevel="1" x14ac:dyDescent="0.25">
      <c r="C149" s="22" t="s">
        <v>885</v>
      </c>
      <c r="D149" s="354" t="s">
        <v>525</v>
      </c>
      <c r="E149" s="862">
        <f t="shared" si="77"/>
        <v>3673.6127999999994</v>
      </c>
      <c r="F149" s="862">
        <f t="shared" si="77"/>
        <v>4081.3838207999997</v>
      </c>
      <c r="G149" s="862">
        <f t="shared" si="77"/>
        <v>4534.4174249088001</v>
      </c>
      <c r="H149" s="1138">
        <f t="shared" si="77"/>
        <v>4625.5592151494675</v>
      </c>
      <c r="I149" s="862">
        <f t="shared" si="77"/>
        <v>4718.5329553739721</v>
      </c>
      <c r="J149" s="862">
        <f t="shared" si="77"/>
        <v>4813.3754677769894</v>
      </c>
      <c r="K149" s="862">
        <f t="shared" si="77"/>
        <v>4910.1243146793058</v>
      </c>
      <c r="L149" s="862">
        <f t="shared" si="77"/>
        <v>5008.817813404361</v>
      </c>
      <c r="M149" s="862">
        <f t="shared" si="77"/>
        <v>5109.4950514537886</v>
      </c>
      <c r="N149" s="862">
        <f t="shared" si="77"/>
        <v>5212.1959019880096</v>
      </c>
      <c r="O149" s="862">
        <f t="shared" si="77"/>
        <v>5316.9610396179687</v>
      </c>
      <c r="P149" s="862">
        <f t="shared" si="77"/>
        <v>5423.8319565142911</v>
      </c>
      <c r="Q149" s="1116">
        <f t="shared" si="77"/>
        <v>5532.850978840228</v>
      </c>
    </row>
    <row r="150" spans="2:21" s="526" customFormat="1" ht="15.75" customHeight="1" outlineLevel="1" x14ac:dyDescent="0.25">
      <c r="C150" s="22" t="s">
        <v>885</v>
      </c>
      <c r="D150" s="354" t="s">
        <v>525</v>
      </c>
      <c r="E150" s="862">
        <f t="shared" si="77"/>
        <v>881.66707199999985</v>
      </c>
      <c r="F150" s="862">
        <f t="shared" si="77"/>
        <v>603.74797756416001</v>
      </c>
      <c r="G150" s="862">
        <f t="shared" si="77"/>
        <v>908.5803314363045</v>
      </c>
      <c r="H150" s="1138">
        <f t="shared" si="77"/>
        <v>926.84279609817418</v>
      </c>
      <c r="I150" s="862">
        <f t="shared" si="77"/>
        <v>945.47233629974755</v>
      </c>
      <c r="J150" s="862">
        <f t="shared" si="77"/>
        <v>964.4763302593725</v>
      </c>
      <c r="K150" s="862">
        <f t="shared" si="77"/>
        <v>983.8623044975858</v>
      </c>
      <c r="L150" s="862">
        <f t="shared" si="77"/>
        <v>1003.6379368179873</v>
      </c>
      <c r="M150" s="862">
        <f t="shared" si="77"/>
        <v>1023.8110593480288</v>
      </c>
      <c r="N150" s="862">
        <f t="shared" si="77"/>
        <v>1044.389661640924</v>
      </c>
      <c r="O150" s="862">
        <f t="shared" si="77"/>
        <v>1065.3818938399065</v>
      </c>
      <c r="P150" s="862">
        <f t="shared" si="77"/>
        <v>1086.7960699060889</v>
      </c>
      <c r="Q150" s="1116">
        <f t="shared" si="77"/>
        <v>1108.6406709112011</v>
      </c>
    </row>
    <row r="151" spans="2:21" s="526" customFormat="1" ht="15.75" customHeight="1" outlineLevel="1" x14ac:dyDescent="0.25">
      <c r="C151" s="29" t="s">
        <v>885</v>
      </c>
      <c r="D151" s="357" t="s">
        <v>525</v>
      </c>
      <c r="E151" s="1121">
        <f t="shared" si="77"/>
        <v>35.266682879999998</v>
      </c>
      <c r="F151" s="1121">
        <f t="shared" si="77"/>
        <v>35.975543205887995</v>
      </c>
      <c r="G151" s="1121">
        <f t="shared" si="77"/>
        <v>36.698651624326345</v>
      </c>
      <c r="H151" s="1139">
        <f t="shared" si="77"/>
        <v>37.436294521975306</v>
      </c>
      <c r="I151" s="1121">
        <f t="shared" si="77"/>
        <v>38.188764041867017</v>
      </c>
      <c r="J151" s="1121">
        <f t="shared" si="77"/>
        <v>38.95635819910855</v>
      </c>
      <c r="K151" s="1121">
        <f t="shared" si="77"/>
        <v>39.739380998910626</v>
      </c>
      <c r="L151" s="1121">
        <f t="shared" si="77"/>
        <v>40.538142556988731</v>
      </c>
      <c r="M151" s="1121">
        <f t="shared" si="77"/>
        <v>41.3529592223842</v>
      </c>
      <c r="N151" s="1121">
        <f t="shared" si="77"/>
        <v>42.184153702754116</v>
      </c>
      <c r="O151" s="1121">
        <f t="shared" si="77"/>
        <v>43.03205519217947</v>
      </c>
      <c r="P151" s="1121">
        <f t="shared" si="77"/>
        <v>43.896999501542282</v>
      </c>
      <c r="Q151" s="865">
        <f t="shared" si="77"/>
        <v>44.779329191523289</v>
      </c>
    </row>
    <row r="152" spans="2:21" s="1042" customFormat="1" ht="15.75" customHeight="1" outlineLevel="1" x14ac:dyDescent="0.25">
      <c r="C152" s="517" t="s">
        <v>888</v>
      </c>
      <c r="D152" s="1063" t="s">
        <v>525</v>
      </c>
      <c r="E152" s="1124">
        <f>SUM(E142:E151)</f>
        <v>12195.646554879999</v>
      </c>
      <c r="F152" s="1124">
        <f t="shared" ref="F152:Q152" si="78">SUM(F142:F151)</f>
        <v>12740.947966570049</v>
      </c>
      <c r="G152" s="1124">
        <f t="shared" si="78"/>
        <v>13951.68233521943</v>
      </c>
      <c r="H152" s="1140">
        <f t="shared" si="78"/>
        <v>14232.215996407342</v>
      </c>
      <c r="I152" s="1124">
        <f t="shared" si="78"/>
        <v>14518.397410622631</v>
      </c>
      <c r="J152" s="1124">
        <f t="shared" si="78"/>
        <v>14810.339871576147</v>
      </c>
      <c r="K152" s="1124">
        <f t="shared" si="78"/>
        <v>15108.158950182325</v>
      </c>
      <c r="L152" s="1124">
        <f t="shared" si="78"/>
        <v>15411.972540330995</v>
      </c>
      <c r="M152" s="1124">
        <f t="shared" si="78"/>
        <v>15721.900905579147</v>
      </c>
      <c r="N152" s="1124">
        <f t="shared" si="78"/>
        <v>16038.066726781284</v>
      </c>
      <c r="O152" s="1124">
        <f t="shared" si="78"/>
        <v>16360.595150677091</v>
      </c>
      <c r="P152" s="1124">
        <f t="shared" si="78"/>
        <v>16689.613839455706</v>
      </c>
      <c r="Q152" s="1125">
        <f t="shared" si="78"/>
        <v>17025.253021316261</v>
      </c>
    </row>
    <row r="153" spans="2:21" outlineLevel="1" x14ac:dyDescent="0.25"/>
    <row r="154" spans="2:21" s="1042" customFormat="1" ht="15.75" customHeight="1" outlineLevel="1" x14ac:dyDescent="0.25">
      <c r="B154" s="1141">
        <v>3</v>
      </c>
      <c r="C154" s="1154" t="s">
        <v>898</v>
      </c>
      <c r="D154" s="1155"/>
      <c r="E154" s="1155"/>
      <c r="F154" s="1155"/>
      <c r="G154" s="1155"/>
      <c r="H154" s="1156"/>
      <c r="I154" s="1155"/>
      <c r="J154" s="1155"/>
      <c r="K154" s="1155"/>
      <c r="L154" s="1155"/>
      <c r="M154" s="1155"/>
      <c r="N154" s="1155"/>
      <c r="O154" s="1155"/>
      <c r="P154" s="1155"/>
      <c r="Q154" s="1157"/>
    </row>
    <row r="155" spans="2:21" s="1042" customFormat="1" ht="15.75" customHeight="1" outlineLevel="1" thickBot="1" x14ac:dyDescent="0.3">
      <c r="C155" s="366" t="s">
        <v>883</v>
      </c>
      <c r="D155" s="1142" t="s">
        <v>884</v>
      </c>
      <c r="E155" s="59" t="str">
        <f>+E141</f>
        <v>2013</v>
      </c>
      <c r="F155" s="59" t="str">
        <f t="shared" ref="F155:Q155" si="79">+F141</f>
        <v>2014</v>
      </c>
      <c r="G155" s="59" t="str">
        <f t="shared" si="79"/>
        <v>2015</v>
      </c>
      <c r="H155" s="58">
        <f t="shared" si="79"/>
        <v>2016</v>
      </c>
      <c r="I155" s="59">
        <f t="shared" si="79"/>
        <v>2017</v>
      </c>
      <c r="J155" s="59">
        <f t="shared" si="79"/>
        <v>2018</v>
      </c>
      <c r="K155" s="59">
        <f t="shared" si="79"/>
        <v>2019</v>
      </c>
      <c r="L155" s="59">
        <f t="shared" si="79"/>
        <v>2020</v>
      </c>
      <c r="M155" s="59">
        <f t="shared" si="79"/>
        <v>2021</v>
      </c>
      <c r="N155" s="59">
        <f t="shared" si="79"/>
        <v>2022</v>
      </c>
      <c r="O155" s="59">
        <f t="shared" si="79"/>
        <v>2023</v>
      </c>
      <c r="P155" s="59">
        <f t="shared" si="79"/>
        <v>2024</v>
      </c>
      <c r="Q155" s="60">
        <f t="shared" si="79"/>
        <v>2025</v>
      </c>
    </row>
    <row r="156" spans="2:21" s="1042" customFormat="1" ht="15.75" customHeight="1" outlineLevel="1" x14ac:dyDescent="0.25">
      <c r="C156" s="29" t="s">
        <v>893</v>
      </c>
      <c r="D156" s="357" t="s">
        <v>525</v>
      </c>
      <c r="E156" s="1133"/>
      <c r="F156" s="1133"/>
      <c r="G156" s="1133"/>
      <c r="H156" s="1134"/>
      <c r="I156" s="1133"/>
      <c r="J156" s="1133"/>
      <c r="K156" s="1133"/>
      <c r="L156" s="1133"/>
      <c r="M156" s="1133"/>
      <c r="N156" s="1133"/>
      <c r="O156" s="1133"/>
      <c r="P156" s="1133"/>
      <c r="Q156" s="1135"/>
    </row>
    <row r="157" spans="2:21" outlineLevel="1" x14ac:dyDescent="0.25"/>
    <row r="158" spans="2:21" ht="16.5" outlineLevel="1" thickBot="1" x14ac:dyDescent="0.3">
      <c r="C158" s="509" t="s">
        <v>296</v>
      </c>
      <c r="D158" s="515">
        <v>2015</v>
      </c>
      <c r="E158" s="511">
        <v>2016</v>
      </c>
      <c r="F158" s="512">
        <v>2017</v>
      </c>
      <c r="G158" s="512">
        <v>2018</v>
      </c>
      <c r="H158" s="512">
        <v>2019</v>
      </c>
      <c r="I158" s="512">
        <v>2020</v>
      </c>
      <c r="J158" s="512">
        <v>2021</v>
      </c>
      <c r="K158" s="512">
        <v>2022</v>
      </c>
      <c r="L158" s="512">
        <v>2023</v>
      </c>
      <c r="M158" s="512">
        <v>2024</v>
      </c>
      <c r="N158" s="513">
        <v>2025</v>
      </c>
    </row>
    <row r="159" spans="2:21" ht="16.5" outlineLevel="1" thickBot="1" x14ac:dyDescent="0.3">
      <c r="C159" s="888" t="s">
        <v>296</v>
      </c>
      <c r="D159" s="976">
        <f>+K11</f>
        <v>9630.2070000000003</v>
      </c>
      <c r="E159" s="977">
        <f t="shared" ref="E159:N159" si="80">+H156+H152+H111</f>
        <v>28464.431992814683</v>
      </c>
      <c r="F159" s="977">
        <f t="shared" si="80"/>
        <v>29036.794821245261</v>
      </c>
      <c r="G159" s="977">
        <f t="shared" si="80"/>
        <v>29620.679743152294</v>
      </c>
      <c r="H159" s="977">
        <f t="shared" si="80"/>
        <v>30216.317900364651</v>
      </c>
      <c r="I159" s="977">
        <f t="shared" si="80"/>
        <v>30823.94508066199</v>
      </c>
      <c r="J159" s="977">
        <f t="shared" si="80"/>
        <v>31443.801811158293</v>
      </c>
      <c r="K159" s="977">
        <f t="shared" si="80"/>
        <v>32076.133453562568</v>
      </c>
      <c r="L159" s="977">
        <f t="shared" si="80"/>
        <v>32721.190301354181</v>
      </c>
      <c r="M159" s="977">
        <f t="shared" si="80"/>
        <v>33379.227678911411</v>
      </c>
      <c r="N159" s="978">
        <f t="shared" si="80"/>
        <v>34050.506042632522</v>
      </c>
    </row>
    <row r="160" spans="2:21" s="319" customFormat="1" ht="20.45" customHeight="1" thickBot="1" x14ac:dyDescent="0.35">
      <c r="B160" s="1280" t="s">
        <v>299</v>
      </c>
      <c r="C160" s="1281" t="s">
        <v>280</v>
      </c>
      <c r="D160" s="1282"/>
      <c r="E160" s="1282"/>
      <c r="F160" s="1282"/>
      <c r="G160" s="1283"/>
      <c r="H160" s="1284"/>
      <c r="I160" s="1285"/>
      <c r="J160" s="1285"/>
      <c r="K160" s="1285"/>
      <c r="L160" s="1286"/>
      <c r="M160" s="1286"/>
      <c r="N160" s="1286"/>
      <c r="O160" s="1286"/>
      <c r="P160" s="1286"/>
      <c r="Q160" s="1286"/>
      <c r="R160" s="1286"/>
      <c r="S160" s="1286"/>
      <c r="T160" s="1286"/>
      <c r="U160" s="1287"/>
    </row>
    <row r="161" spans="2:14" ht="5.25" customHeight="1" x14ac:dyDescent="0.25"/>
    <row r="162" spans="2:14" ht="18" customHeight="1" outlineLevel="1" x14ac:dyDescent="0.25">
      <c r="C162" s="7" t="s">
        <v>900</v>
      </c>
    </row>
    <row r="163" spans="2:14" ht="17.25" customHeight="1" outlineLevel="1" thickBot="1" x14ac:dyDescent="0.3">
      <c r="B163" s="1548"/>
      <c r="C163" s="1547" t="s">
        <v>270</v>
      </c>
      <c r="D163" s="1543" t="s">
        <v>1085</v>
      </c>
      <c r="E163" s="1544">
        <f>+H155</f>
        <v>2016</v>
      </c>
      <c r="F163" s="1544">
        <f t="shared" ref="F163:N163" si="81">E163+1</f>
        <v>2017</v>
      </c>
      <c r="G163" s="1544">
        <f t="shared" si="81"/>
        <v>2018</v>
      </c>
      <c r="H163" s="1544">
        <f t="shared" si="81"/>
        <v>2019</v>
      </c>
      <c r="I163" s="1544">
        <f t="shared" si="81"/>
        <v>2020</v>
      </c>
      <c r="J163" s="1544">
        <f t="shared" si="81"/>
        <v>2021</v>
      </c>
      <c r="K163" s="1544">
        <f t="shared" si="81"/>
        <v>2022</v>
      </c>
      <c r="L163" s="1544">
        <f t="shared" si="81"/>
        <v>2023</v>
      </c>
      <c r="M163" s="1545">
        <f t="shared" si="81"/>
        <v>2024</v>
      </c>
      <c r="N163" s="1546">
        <f t="shared" si="81"/>
        <v>2025</v>
      </c>
    </row>
    <row r="164" spans="2:14" ht="17.25" customHeight="1" outlineLevel="1" x14ac:dyDescent="0.25">
      <c r="B164" s="1549">
        <v>1</v>
      </c>
      <c r="C164" s="672" t="s">
        <v>899</v>
      </c>
      <c r="D164" s="1158">
        <f>+K11</f>
        <v>9630.2070000000003</v>
      </c>
      <c r="E164" s="1159">
        <f t="shared" ref="E164:N164" si="82">+I17</f>
        <v>10800.7226691411</v>
      </c>
      <c r="F164" s="1159">
        <f t="shared" si="82"/>
        <v>12003.718058827419</v>
      </c>
      <c r="G164" s="1159">
        <f t="shared" si="82"/>
        <v>13218.615758094162</v>
      </c>
      <c r="H164" s="1159">
        <f t="shared" si="82"/>
        <v>14559.305275137927</v>
      </c>
      <c r="I164" s="1159">
        <f t="shared" si="82"/>
        <v>16039.067965641627</v>
      </c>
      <c r="J164" s="1159">
        <f t="shared" si="82"/>
        <v>17694.998308208349</v>
      </c>
      <c r="K164" s="1159">
        <f t="shared" si="82"/>
        <v>19223.037403328242</v>
      </c>
      <c r="L164" s="1159">
        <f t="shared" si="82"/>
        <v>20754.587764915501</v>
      </c>
      <c r="M164" s="1159">
        <f t="shared" si="82"/>
        <v>22264.772961763127</v>
      </c>
      <c r="N164" s="1160">
        <f t="shared" si="82"/>
        <v>23886.114881703343</v>
      </c>
    </row>
    <row r="165" spans="2:14" ht="17.25" customHeight="1" outlineLevel="1" x14ac:dyDescent="0.25">
      <c r="B165" s="1549">
        <v>2</v>
      </c>
      <c r="C165" s="99" t="s">
        <v>901</v>
      </c>
      <c r="D165" s="1158">
        <f>+D164</f>
        <v>9630.2070000000003</v>
      </c>
      <c r="E165" s="1159">
        <f t="shared" ref="E165:N165" si="83">+E62</f>
        <v>10753.718604228448</v>
      </c>
      <c r="F165" s="1159">
        <f t="shared" si="83"/>
        <v>11844.838107044867</v>
      </c>
      <c r="G165" s="1159">
        <f t="shared" si="83"/>
        <v>13017.858980501796</v>
      </c>
      <c r="H165" s="1159">
        <f t="shared" si="83"/>
        <v>14314.392690861741</v>
      </c>
      <c r="I165" s="1159">
        <f t="shared" si="83"/>
        <v>15748.005125111571</v>
      </c>
      <c r="J165" s="1159">
        <f t="shared" si="83"/>
        <v>17176.047376958264</v>
      </c>
      <c r="K165" s="1159">
        <f t="shared" si="83"/>
        <v>18597.605060917547</v>
      </c>
      <c r="L165" s="1159">
        <f t="shared" si="83"/>
        <v>20036.016062142571</v>
      </c>
      <c r="M165" s="1159">
        <f t="shared" si="83"/>
        <v>21471.639514856197</v>
      </c>
      <c r="N165" s="1160">
        <f t="shared" si="83"/>
        <v>23015.192285744753</v>
      </c>
    </row>
    <row r="166" spans="2:14" ht="17.25" customHeight="1" outlineLevel="1" x14ac:dyDescent="0.25">
      <c r="B166" s="1549">
        <v>3</v>
      </c>
      <c r="C166" s="99" t="s">
        <v>905</v>
      </c>
      <c r="D166" s="1158">
        <f>+D165</f>
        <v>9630.2070000000003</v>
      </c>
      <c r="E166" s="1159">
        <f t="shared" ref="E166:N166" si="84">+E159</f>
        <v>28464.431992814683</v>
      </c>
      <c r="F166" s="1159">
        <f t="shared" si="84"/>
        <v>29036.794821245261</v>
      </c>
      <c r="G166" s="1159">
        <f t="shared" si="84"/>
        <v>29620.679743152294</v>
      </c>
      <c r="H166" s="1159">
        <f t="shared" si="84"/>
        <v>30216.317900364651</v>
      </c>
      <c r="I166" s="1159">
        <f t="shared" si="84"/>
        <v>30823.94508066199</v>
      </c>
      <c r="J166" s="1159">
        <f t="shared" si="84"/>
        <v>31443.801811158293</v>
      </c>
      <c r="K166" s="1159">
        <f t="shared" si="84"/>
        <v>32076.133453562568</v>
      </c>
      <c r="L166" s="1159">
        <f t="shared" si="84"/>
        <v>32721.190301354181</v>
      </c>
      <c r="M166" s="1159">
        <f t="shared" si="84"/>
        <v>33379.227678911411</v>
      </c>
      <c r="N166" s="1160">
        <f t="shared" si="84"/>
        <v>34050.506042632522</v>
      </c>
    </row>
    <row r="167" spans="2:14" ht="17.25" customHeight="1" outlineLevel="1" thickBot="1" x14ac:dyDescent="0.3">
      <c r="B167" s="1550">
        <v>4</v>
      </c>
      <c r="C167" s="239" t="s">
        <v>1186</v>
      </c>
      <c r="D167" s="1161">
        <f>+D166</f>
        <v>9630.2070000000003</v>
      </c>
      <c r="E167" s="1162">
        <f>+L67</f>
        <v>10864.804905588837</v>
      </c>
      <c r="F167" s="1162">
        <f t="shared" ref="F167:N167" si="85">+M67</f>
        <v>12048.092838582343</v>
      </c>
      <c r="G167" s="1162">
        <f t="shared" si="85"/>
        <v>13243.088097657077</v>
      </c>
      <c r="H167" s="1162">
        <f t="shared" si="85"/>
        <v>14561.814454391029</v>
      </c>
      <c r="I167" s="1162">
        <f t="shared" si="85"/>
        <v>16017.335689450461</v>
      </c>
      <c r="J167" s="1162">
        <f t="shared" si="85"/>
        <v>17585.592679109279</v>
      </c>
      <c r="K167" s="1162">
        <f t="shared" si="85"/>
        <v>19018.052756043027</v>
      </c>
      <c r="L167" s="1162">
        <f t="shared" si="85"/>
        <v>20444.033651689351</v>
      </c>
      <c r="M167" s="1162">
        <f t="shared" si="85"/>
        <v>21839.470334248021</v>
      </c>
      <c r="N167" s="1163">
        <f t="shared" si="85"/>
        <v>23332.792003803581</v>
      </c>
    </row>
    <row r="168" spans="2:14" ht="17.25" customHeight="1" outlineLevel="1" x14ac:dyDescent="0.25"/>
    <row r="169" spans="2:14" ht="15.75" outlineLevel="1" thickBot="1" x14ac:dyDescent="0.3">
      <c r="B169" s="1548"/>
      <c r="C169" s="1547" t="s">
        <v>300</v>
      </c>
      <c r="D169" s="1543" t="s">
        <v>1085</v>
      </c>
      <c r="E169" s="1544">
        <f>+E60</f>
        <v>2016</v>
      </c>
      <c r="F169" s="1544">
        <f t="shared" ref="F169:N169" si="86">E169+1</f>
        <v>2017</v>
      </c>
      <c r="G169" s="1544">
        <f t="shared" si="86"/>
        <v>2018</v>
      </c>
      <c r="H169" s="1544">
        <f t="shared" si="86"/>
        <v>2019</v>
      </c>
      <c r="I169" s="1544">
        <f t="shared" si="86"/>
        <v>2020</v>
      </c>
      <c r="J169" s="1544">
        <f t="shared" si="86"/>
        <v>2021</v>
      </c>
      <c r="K169" s="1544">
        <f t="shared" si="86"/>
        <v>2022</v>
      </c>
      <c r="L169" s="1544">
        <f t="shared" si="86"/>
        <v>2023</v>
      </c>
      <c r="M169" s="1545">
        <f t="shared" si="86"/>
        <v>2024</v>
      </c>
      <c r="N169" s="1546">
        <f t="shared" si="86"/>
        <v>2025</v>
      </c>
    </row>
    <row r="170" spans="2:14" outlineLevel="1" x14ac:dyDescent="0.25">
      <c r="B170" s="1549">
        <v>1</v>
      </c>
      <c r="C170" s="672" t="s">
        <v>899</v>
      </c>
      <c r="D170" s="523">
        <f>K12</f>
        <v>0.67980650990745517</v>
      </c>
      <c r="E170" s="524">
        <f>+E164/$L$10</f>
        <v>0.67980650990745517</v>
      </c>
      <c r="F170" s="524">
        <f>+F164/$M$10</f>
        <v>0.67980650990745517</v>
      </c>
      <c r="G170" s="524">
        <f>+G164/$N$10</f>
        <v>0.67980650990745517</v>
      </c>
      <c r="H170" s="524">
        <f>+H164/$O$10</f>
        <v>0.67980650990745517</v>
      </c>
      <c r="I170" s="524">
        <f>+I164/$P$10</f>
        <v>0.67980650990745517</v>
      </c>
      <c r="J170" s="524">
        <f>+J164/$Q$10</f>
        <v>0.68217955829239496</v>
      </c>
      <c r="K170" s="524">
        <f>+K164/$R$10</f>
        <v>0.68455260667733453</v>
      </c>
      <c r="L170" s="524">
        <f>+L164/$S$10</f>
        <v>0.6869256550622741</v>
      </c>
      <c r="M170" s="524">
        <f>+M164/$T$10</f>
        <v>0.68929870344721389</v>
      </c>
      <c r="N170" s="525">
        <f>+N164/$U$10</f>
        <v>0.69167175183215335</v>
      </c>
    </row>
    <row r="171" spans="2:14" outlineLevel="1" x14ac:dyDescent="0.25">
      <c r="B171" s="1549">
        <v>2</v>
      </c>
      <c r="C171" s="99" t="s">
        <v>901</v>
      </c>
      <c r="D171" s="523">
        <f>+D170</f>
        <v>0.67980650990745517</v>
      </c>
      <c r="E171" s="524">
        <f>+E165/$L$10</f>
        <v>0.67684803478513511</v>
      </c>
      <c r="F171" s="524">
        <f>+F165/$M$10</f>
        <v>0.67080866232504432</v>
      </c>
      <c r="G171" s="524">
        <f>+G165/$N$10</f>
        <v>0.66948199735539271</v>
      </c>
      <c r="H171" s="524">
        <f>+H165/$O$10</f>
        <v>0.66837099385755683</v>
      </c>
      <c r="I171" s="524">
        <f>+I165/$P$10</f>
        <v>0.66746998173709327</v>
      </c>
      <c r="J171" s="524">
        <f>+J165/$Q$10</f>
        <v>0.66217290381922733</v>
      </c>
      <c r="K171" s="524">
        <f>+K165/$R$10</f>
        <v>0.66228030228992152</v>
      </c>
      <c r="L171" s="524">
        <f>+L165/$S$10</f>
        <v>0.66314270436108402</v>
      </c>
      <c r="M171" s="524">
        <f>+M165/$T$10</f>
        <v>0.66474395691768651</v>
      </c>
      <c r="N171" s="525">
        <f>+N165/$U$10</f>
        <v>0.66645239068278894</v>
      </c>
    </row>
    <row r="172" spans="2:14" ht="14.25" customHeight="1" outlineLevel="1" x14ac:dyDescent="0.25">
      <c r="B172" s="1549">
        <v>3</v>
      </c>
      <c r="C172" s="99" t="s">
        <v>905</v>
      </c>
      <c r="D172" s="523">
        <f>+D171</f>
        <v>0.67980650990745517</v>
      </c>
      <c r="E172" s="524">
        <f>+E166/$L$10</f>
        <v>1.7915751345805311</v>
      </c>
      <c r="F172" s="524">
        <f>+F166/$M$10</f>
        <v>1.6444406682655666</v>
      </c>
      <c r="G172" s="524">
        <f>+G166/$N$10</f>
        <v>1.523331284136066</v>
      </c>
      <c r="H172" s="524">
        <f>+H166/$O$10</f>
        <v>1.4108674298613784</v>
      </c>
      <c r="I172" s="524">
        <f>+I166/$P$10</f>
        <v>1.3064548745445534</v>
      </c>
      <c r="J172" s="524">
        <f>+J166/$Q$10</f>
        <v>1.2122249721052081</v>
      </c>
      <c r="K172" s="524">
        <f>+K166/$R$10</f>
        <v>1.1422648932662729</v>
      </c>
      <c r="L172" s="524">
        <f>+L166/$S$10</f>
        <v>1.0829906783391399</v>
      </c>
      <c r="M172" s="524">
        <f>+M166/$T$10</f>
        <v>1.0333929028001634</v>
      </c>
      <c r="N172" s="525">
        <f>+N166/$U$10</f>
        <v>0.98600267485607351</v>
      </c>
    </row>
    <row r="173" spans="2:14" ht="15.75" outlineLevel="1" thickBot="1" x14ac:dyDescent="0.3">
      <c r="B173" s="1550">
        <v>4</v>
      </c>
      <c r="C173" s="239" t="s">
        <v>1186</v>
      </c>
      <c r="D173" s="1164">
        <f>+D172</f>
        <v>0.67980650990745517</v>
      </c>
      <c r="E173" s="1165">
        <f>+E167/$L$10</f>
        <v>0.68383989941675782</v>
      </c>
      <c r="F173" s="1165">
        <f>+F167/$M$10</f>
        <v>0.6823195866062971</v>
      </c>
      <c r="G173" s="1165">
        <f>+G167/$N$10</f>
        <v>0.6810650725324674</v>
      </c>
      <c r="H173" s="1165">
        <f>+H167/$O$10</f>
        <v>0.67992366909592938</v>
      </c>
      <c r="I173" s="1165">
        <f>+I167/$P$10</f>
        <v>0.67888540009848686</v>
      </c>
      <c r="J173" s="1165">
        <f>+J167/$Q$10</f>
        <v>0.67796174021558364</v>
      </c>
      <c r="K173" s="1165">
        <f>+K167/$R$10</f>
        <v>0.67725288750789503</v>
      </c>
      <c r="L173" s="1165">
        <f>+L167/$S$10</f>
        <v>0.67664708002737151</v>
      </c>
      <c r="M173" s="1165">
        <f>+M167/$T$10</f>
        <v>0.67613169068573986</v>
      </c>
      <c r="N173" s="1166">
        <f>+N167/$U$10</f>
        <v>0.67564914597175463</v>
      </c>
    </row>
    <row r="174" spans="2:14" ht="14.25" customHeight="1" outlineLevel="1" x14ac:dyDescent="0.25"/>
    <row r="175" spans="2:14" outlineLevel="1" x14ac:dyDescent="0.25">
      <c r="C175" s="329" t="s">
        <v>274</v>
      </c>
      <c r="D175" s="330">
        <f>D14</f>
        <v>0.67020060240643997</v>
      </c>
    </row>
    <row r="176" spans="2:14" outlineLevel="1" x14ac:dyDescent="0.25">
      <c r="C176" s="329" t="s">
        <v>1157</v>
      </c>
      <c r="D176" s="330">
        <f>D15</f>
        <v>0.72397084925211852</v>
      </c>
    </row>
    <row r="177" spans="3:14" outlineLevel="1" x14ac:dyDescent="0.25">
      <c r="C177" s="329" t="s">
        <v>275</v>
      </c>
      <c r="D177" s="330">
        <f>D16</f>
        <v>0.6952784878438163</v>
      </c>
    </row>
    <row r="178" spans="3:14" outlineLevel="1" x14ac:dyDescent="0.25">
      <c r="C178" s="329" t="s">
        <v>276</v>
      </c>
      <c r="D178" s="330">
        <f>D17</f>
        <v>0.69680175902799735</v>
      </c>
    </row>
    <row r="179" spans="3:14" outlineLevel="1" x14ac:dyDescent="0.25">
      <c r="C179" s="329" t="s">
        <v>1187</v>
      </c>
      <c r="D179" s="330">
        <f>D18</f>
        <v>0.69167175183215335</v>
      </c>
    </row>
    <row r="180" spans="3:14" ht="14.25" customHeight="1" outlineLevel="1" x14ac:dyDescent="0.25"/>
    <row r="181" spans="3:14" outlineLevel="1" x14ac:dyDescent="0.25">
      <c r="C181" s="40" t="s">
        <v>1170</v>
      </c>
      <c r="D181" s="361">
        <v>1</v>
      </c>
      <c r="E181" s="863">
        <f>+IF($D$181=1,E164,IF($D$181=2,E165,IF($D$181=3,E166,E167)))</f>
        <v>10800.7226691411</v>
      </c>
      <c r="F181" s="863">
        <f t="shared" ref="F181:N181" si="87">+IF($D$181=1,F164,IF($D$181=2,F165,IF($D$181=3,F166,F167)))</f>
        <v>12003.718058827419</v>
      </c>
      <c r="G181" s="863">
        <f t="shared" si="87"/>
        <v>13218.615758094162</v>
      </c>
      <c r="H181" s="863">
        <f t="shared" si="87"/>
        <v>14559.305275137927</v>
      </c>
      <c r="I181" s="863">
        <f t="shared" si="87"/>
        <v>16039.067965641627</v>
      </c>
      <c r="J181" s="863">
        <f t="shared" si="87"/>
        <v>17694.998308208349</v>
      </c>
      <c r="K181" s="863">
        <f t="shared" si="87"/>
        <v>19223.037403328242</v>
      </c>
      <c r="L181" s="863">
        <f t="shared" si="87"/>
        <v>20754.587764915501</v>
      </c>
      <c r="M181" s="863">
        <f t="shared" si="87"/>
        <v>22264.772961763127</v>
      </c>
      <c r="N181" s="864">
        <f t="shared" si="87"/>
        <v>23886.114881703343</v>
      </c>
    </row>
    <row r="182" spans="3:14" outlineLevel="1" x14ac:dyDescent="0.25"/>
    <row r="183" spans="3:14" outlineLevel="1" x14ac:dyDescent="0.25">
      <c r="C183" s="866" t="s">
        <v>283</v>
      </c>
      <c r="D183" s="867">
        <f ca="1">+'DCF sonuc'!F28</f>
        <v>13135.935128846708</v>
      </c>
    </row>
    <row r="184" spans="3:14" outlineLevel="1" x14ac:dyDescent="0.25">
      <c r="C184" s="868"/>
      <c r="D184" s="869">
        <f>+'DCF sonuc'!F30</f>
        <v>13555</v>
      </c>
    </row>
  </sheetData>
  <mergeCells count="1">
    <mergeCell ref="G16:G17"/>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11">
    <tabColor theme="1"/>
  </sheetPr>
  <dimension ref="B2:W153"/>
  <sheetViews>
    <sheetView zoomScale="86" zoomScaleNormal="86" workbookViewId="0">
      <selection activeCell="K22" sqref="K22"/>
    </sheetView>
  </sheetViews>
  <sheetFormatPr defaultColWidth="9.140625" defaultRowHeight="15" outlineLevelRow="1" x14ac:dyDescent="0.25"/>
  <cols>
    <col min="1" max="1" width="5.7109375" style="4" customWidth="1"/>
    <col min="2" max="2" width="4.5703125" style="4" customWidth="1"/>
    <col min="3" max="3" width="32" style="4" customWidth="1"/>
    <col min="4" max="4" width="10" style="4" customWidth="1"/>
    <col min="5" max="6" width="9.5703125" style="4" bestFit="1" customWidth="1"/>
    <col min="7" max="7" width="11" style="4" bestFit="1" customWidth="1"/>
    <col min="8" max="8" width="13" style="4" customWidth="1"/>
    <col min="9" max="10" width="10.42578125" style="4" bestFit="1" customWidth="1"/>
    <col min="11" max="11" width="11.5703125" style="4" bestFit="1" customWidth="1"/>
    <col min="12" max="13" width="9.28515625" style="4" customWidth="1"/>
    <col min="14" max="15" width="12.28515625" style="4" customWidth="1"/>
    <col min="16" max="21" width="9.28515625" style="4" customWidth="1"/>
    <col min="22" max="16384" width="9.140625" style="4"/>
  </cols>
  <sheetData>
    <row r="2" spans="2:21" x14ac:dyDescent="0.25">
      <c r="D2" s="6"/>
      <c r="E2" s="6"/>
      <c r="F2" s="6"/>
      <c r="G2" s="6"/>
      <c r="H2" s="6"/>
      <c r="I2" s="314"/>
      <c r="J2" s="315" t="s">
        <v>232</v>
      </c>
      <c r="K2" s="316"/>
      <c r="M2" s="317"/>
      <c r="N2" s="315" t="s">
        <v>233</v>
      </c>
      <c r="O2" s="316"/>
      <c r="Q2" s="318"/>
      <c r="R2" s="315" t="s">
        <v>263</v>
      </c>
    </row>
    <row r="3" spans="2:21" x14ac:dyDescent="0.25">
      <c r="C3" s="1"/>
      <c r="D3" s="2"/>
      <c r="E3" s="2"/>
      <c r="F3" s="2"/>
      <c r="G3" s="2"/>
      <c r="H3" s="2"/>
      <c r="I3" s="2"/>
      <c r="J3" s="2"/>
      <c r="K3" s="2"/>
      <c r="L3" s="1"/>
      <c r="M3" s="1"/>
      <c r="N3" s="1"/>
      <c r="O3" s="485"/>
      <c r="P3" s="486"/>
      <c r="Q3" s="487"/>
      <c r="R3" s="485"/>
      <c r="S3" s="486"/>
      <c r="T3" s="487"/>
    </row>
    <row r="4" spans="2:21" ht="24" customHeight="1" thickBot="1" x14ac:dyDescent="0.4">
      <c r="B4" s="320"/>
      <c r="C4" s="1262" t="s">
        <v>1171</v>
      </c>
      <c r="D4" s="1263"/>
      <c r="E4" s="1263"/>
      <c r="F4" s="1263"/>
      <c r="G4" s="1263"/>
      <c r="H4" s="1263"/>
      <c r="I4" s="1263"/>
      <c r="J4" s="1263"/>
      <c r="K4" s="1263"/>
      <c r="L4" s="1264"/>
      <c r="M4" s="1264"/>
      <c r="N4" s="1264"/>
      <c r="O4" s="1265"/>
      <c r="P4" s="1266"/>
      <c r="Q4" s="1265"/>
      <c r="R4" s="1265"/>
      <c r="S4" s="1266"/>
      <c r="T4" s="1266"/>
      <c r="U4" s="1266"/>
    </row>
    <row r="5" spans="2:21" ht="7.15" customHeight="1" thickTop="1" thickBot="1" x14ac:dyDescent="0.3"/>
    <row r="6" spans="2:21" s="319" customFormat="1" ht="19.5" thickBot="1" x14ac:dyDescent="0.35">
      <c r="B6" s="1280" t="s">
        <v>251</v>
      </c>
      <c r="C6" s="1281" t="s">
        <v>1475</v>
      </c>
      <c r="D6" s="1282"/>
      <c r="E6" s="1282"/>
      <c r="F6" s="1282"/>
      <c r="G6" s="1283"/>
      <c r="H6" s="1284"/>
      <c r="I6" s="1285"/>
      <c r="J6" s="1285"/>
      <c r="K6" s="1285"/>
      <c r="L6" s="1286"/>
      <c r="M6" s="1286"/>
      <c r="N6" s="1286"/>
      <c r="O6" s="1286"/>
      <c r="P6" s="1286"/>
      <c r="Q6" s="1286"/>
      <c r="R6" s="1286"/>
      <c r="S6" s="1286"/>
      <c r="T6" s="1286"/>
      <c r="U6" s="1287"/>
    </row>
    <row r="7" spans="2:21" s="122" customFormat="1" ht="15.75" outlineLevel="1" x14ac:dyDescent="0.25">
      <c r="C7" s="725" t="s">
        <v>252</v>
      </c>
      <c r="D7" s="872">
        <v>1</v>
      </c>
      <c r="E7" s="872">
        <f>D7+1</f>
        <v>2</v>
      </c>
      <c r="F7" s="872">
        <f t="shared" ref="F7:K7" si="0">E7+1</f>
        <v>3</v>
      </c>
      <c r="G7" s="872">
        <f t="shared" si="0"/>
        <v>4</v>
      </c>
      <c r="H7" s="872">
        <f t="shared" si="0"/>
        <v>5</v>
      </c>
      <c r="I7" s="872">
        <f t="shared" si="0"/>
        <v>6</v>
      </c>
      <c r="J7" s="872">
        <f t="shared" si="0"/>
        <v>7</v>
      </c>
      <c r="K7" s="872">
        <f t="shared" si="0"/>
        <v>8</v>
      </c>
    </row>
    <row r="8" spans="2:21" s="122" customFormat="1" ht="16.5" outlineLevel="1" thickBot="1" x14ac:dyDescent="0.3">
      <c r="C8" s="873"/>
      <c r="D8" s="511" t="str">
        <f>Sales!D8</f>
        <v>2008</v>
      </c>
      <c r="E8" s="512" t="str">
        <f>Sales!E8</f>
        <v>2009</v>
      </c>
      <c r="F8" s="512" t="str">
        <f>Sales!F8</f>
        <v>2010</v>
      </c>
      <c r="G8" s="512" t="str">
        <f>Sales!G8</f>
        <v>2011</v>
      </c>
      <c r="H8" s="512" t="str">
        <f>Sales!H8</f>
        <v>2012</v>
      </c>
      <c r="I8" s="512" t="str">
        <f>Sales!I8</f>
        <v>2013</v>
      </c>
      <c r="J8" s="512" t="str">
        <f>Sales!J8</f>
        <v>2014</v>
      </c>
      <c r="K8" s="513" t="str">
        <f>Sales!K8</f>
        <v>2015</v>
      </c>
      <c r="L8" s="512">
        <f>K8+1</f>
        <v>2016</v>
      </c>
      <c r="M8" s="512">
        <f t="shared" ref="M8:U8" si="1">L8+1</f>
        <v>2017</v>
      </c>
      <c r="N8" s="512">
        <f t="shared" si="1"/>
        <v>2018</v>
      </c>
      <c r="O8" s="512">
        <f t="shared" si="1"/>
        <v>2019</v>
      </c>
      <c r="P8" s="512">
        <f t="shared" si="1"/>
        <v>2020</v>
      </c>
      <c r="Q8" s="512">
        <f t="shared" si="1"/>
        <v>2021</v>
      </c>
      <c r="R8" s="512">
        <f t="shared" si="1"/>
        <v>2022</v>
      </c>
      <c r="S8" s="512">
        <f t="shared" si="1"/>
        <v>2023</v>
      </c>
      <c r="T8" s="512">
        <f t="shared" si="1"/>
        <v>2024</v>
      </c>
      <c r="U8" s="513">
        <f t="shared" si="1"/>
        <v>2025</v>
      </c>
    </row>
    <row r="9" spans="2:21" s="122" customFormat="1" ht="15.75" outlineLevel="1" x14ac:dyDescent="0.25">
      <c r="C9" s="874" t="s">
        <v>238</v>
      </c>
      <c r="D9" s="875">
        <f>+Mali!C56</f>
        <v>6775.5379999999996</v>
      </c>
      <c r="E9" s="876">
        <f>+Mali!D56</f>
        <v>6591.8950000000004</v>
      </c>
      <c r="F9" s="876">
        <f>+Mali!E56</f>
        <v>6936.42</v>
      </c>
      <c r="G9" s="876">
        <f>+Mali!F56</f>
        <v>8437.2389999999996</v>
      </c>
      <c r="H9" s="876">
        <f>+Mali!G56</f>
        <v>10556.861000000001</v>
      </c>
      <c r="I9" s="876">
        <f>+Mali!H56</f>
        <v>11097.710999999999</v>
      </c>
      <c r="J9" s="876">
        <f>+Mali!I56</f>
        <v>12514.032999999999</v>
      </c>
      <c r="K9" s="877">
        <f>+Mali!J56</f>
        <v>14166.1</v>
      </c>
      <c r="L9" s="986">
        <f>Sales!E154</f>
        <v>15887.936510951396</v>
      </c>
      <c r="M9" s="987">
        <f>Sales!F154</f>
        <v>17657.550911746246</v>
      </c>
      <c r="N9" s="987">
        <f>Sales!G154</f>
        <v>19444.673690891348</v>
      </c>
      <c r="O9" s="987">
        <f>Sales!H154</f>
        <v>21416.837089600605</v>
      </c>
      <c r="P9" s="987">
        <f>Sales!I154</f>
        <v>23593.578072421064</v>
      </c>
      <c r="Q9" s="987">
        <f>Sales!J154</f>
        <v>25938.916071454521</v>
      </c>
      <c r="R9" s="987">
        <f>Sales!K154</f>
        <v>28081.168950086354</v>
      </c>
      <c r="S9" s="987">
        <f>Sales!L154</f>
        <v>30213.732173147568</v>
      </c>
      <c r="T9" s="987">
        <f>Sales!M154</f>
        <v>32300.616337178635</v>
      </c>
      <c r="U9" s="988">
        <f>Sales!N154</f>
        <v>34533.888102892684</v>
      </c>
    </row>
    <row r="10" spans="2:21" s="122" customFormat="1" ht="15.75" outlineLevel="1" x14ac:dyDescent="0.25">
      <c r="C10" s="874" t="s">
        <v>303</v>
      </c>
      <c r="D10" s="875">
        <f>+Mali!C60</f>
        <v>54.517000000000003</v>
      </c>
      <c r="E10" s="876">
        <f>+Mali!D60</f>
        <v>48.48</v>
      </c>
      <c r="F10" s="876">
        <f>+Mali!E60</f>
        <v>60.52</v>
      </c>
      <c r="G10" s="876">
        <f>+Mali!F60</f>
        <v>64.846999999999994</v>
      </c>
      <c r="H10" s="876">
        <f>+Mali!G60</f>
        <v>72.998000000000005</v>
      </c>
      <c r="I10" s="876">
        <f>+Mali!H60</f>
        <v>83.206999999999994</v>
      </c>
      <c r="J10" s="876">
        <f>+Mali!I60</f>
        <v>102.05500000000001</v>
      </c>
      <c r="K10" s="877">
        <f>+Mali!J60</f>
        <v>125.173</v>
      </c>
      <c r="L10" s="876"/>
      <c r="M10" s="876"/>
      <c r="N10" s="876"/>
      <c r="O10" s="876"/>
      <c r="P10" s="876"/>
      <c r="Q10" s="876"/>
      <c r="R10" s="876"/>
      <c r="S10" s="876"/>
      <c r="T10" s="876"/>
      <c r="U10" s="877"/>
    </row>
    <row r="11" spans="2:21" s="122" customFormat="1" ht="15.75" outlineLevel="1" x14ac:dyDescent="0.25">
      <c r="C11" s="874" t="s">
        <v>304</v>
      </c>
      <c r="D11" s="875">
        <f>+Mali!C61</f>
        <v>1080.5239999999999</v>
      </c>
      <c r="E11" s="876">
        <f>+Mali!D61</f>
        <v>1105.7249999999999</v>
      </c>
      <c r="F11" s="876">
        <f>+Mali!E61</f>
        <v>1161.489</v>
      </c>
      <c r="G11" s="876">
        <f>+Mali!F61</f>
        <v>1474.2539999999999</v>
      </c>
      <c r="H11" s="876">
        <f>+Mali!G61</f>
        <v>1820.9</v>
      </c>
      <c r="I11" s="876">
        <f>+Mali!H61</f>
        <v>2013.0329999999999</v>
      </c>
      <c r="J11" s="876">
        <f>+Mali!I61</f>
        <v>2356.2469999999998</v>
      </c>
      <c r="K11" s="877">
        <f>+Mali!J61</f>
        <v>2722.0140000000001</v>
      </c>
      <c r="L11" s="876"/>
      <c r="M11" s="876"/>
      <c r="N11" s="876"/>
      <c r="O11" s="876"/>
      <c r="P11" s="876"/>
      <c r="Q11" s="876"/>
      <c r="R11" s="876"/>
      <c r="S11" s="876"/>
      <c r="T11" s="876"/>
      <c r="U11" s="877"/>
    </row>
    <row r="12" spans="2:21" s="122" customFormat="1" ht="15.75" outlineLevel="1" x14ac:dyDescent="0.25">
      <c r="C12" s="880" t="s">
        <v>305</v>
      </c>
      <c r="D12" s="881">
        <f>+Mali!C62</f>
        <v>295.61599999999999</v>
      </c>
      <c r="E12" s="882">
        <f>+Mali!D62</f>
        <v>325.60500000000002</v>
      </c>
      <c r="F12" s="882">
        <f>+Mali!E62</f>
        <v>280.363</v>
      </c>
      <c r="G12" s="882">
        <f>+Mali!F62</f>
        <v>342.572</v>
      </c>
      <c r="H12" s="882">
        <f>+Mali!G62</f>
        <v>389.928</v>
      </c>
      <c r="I12" s="882">
        <f>+Mali!H62</f>
        <v>430.99799999999999</v>
      </c>
      <c r="J12" s="882">
        <f>+Mali!I62</f>
        <v>532.78899999999999</v>
      </c>
      <c r="K12" s="883">
        <f>+Mali!J62</f>
        <v>602.06799999999998</v>
      </c>
      <c r="L12" s="881"/>
      <c r="M12" s="882"/>
      <c r="N12" s="882"/>
      <c r="O12" s="882"/>
      <c r="P12" s="882"/>
      <c r="Q12" s="882"/>
      <c r="R12" s="882"/>
      <c r="S12" s="882"/>
      <c r="T12" s="882"/>
      <c r="U12" s="883"/>
    </row>
    <row r="13" spans="2:21" s="122" customFormat="1" ht="15.75" outlineLevel="1" x14ac:dyDescent="0.25">
      <c r="C13" s="880" t="s">
        <v>302</v>
      </c>
      <c r="D13" s="881">
        <f>+Mali!C59</f>
        <v>1430.6569999999999</v>
      </c>
      <c r="E13" s="882">
        <f>+Mali!D59</f>
        <v>1479.81</v>
      </c>
      <c r="F13" s="882">
        <f>+Mali!E59</f>
        <v>1502.3720000000001</v>
      </c>
      <c r="G13" s="882">
        <f>+Mali!F59</f>
        <v>1881.673</v>
      </c>
      <c r="H13" s="882">
        <f>+Mali!G59</f>
        <v>2283.826</v>
      </c>
      <c r="I13" s="882">
        <f>+Mali!H59</f>
        <v>2527.2379999999998</v>
      </c>
      <c r="J13" s="882">
        <f>+Mali!I59</f>
        <v>2991.0909999999999</v>
      </c>
      <c r="K13" s="883">
        <f>+Mali!J59</f>
        <v>3449.2550000000001</v>
      </c>
      <c r="L13" s="989"/>
      <c r="M13" s="989"/>
      <c r="N13" s="989"/>
      <c r="O13" s="989"/>
      <c r="P13" s="989"/>
      <c r="Q13" s="989"/>
      <c r="R13" s="989"/>
      <c r="S13" s="989"/>
      <c r="T13" s="989"/>
      <c r="U13" s="884"/>
    </row>
    <row r="14" spans="2:21" s="122" customFormat="1" ht="15.75" outlineLevel="1" x14ac:dyDescent="0.25">
      <c r="C14" s="880" t="s">
        <v>301</v>
      </c>
      <c r="D14" s="885">
        <f t="shared" ref="D14:K14" si="2">D13/D9</f>
        <v>0.21115031750984203</v>
      </c>
      <c r="E14" s="886">
        <f t="shared" si="2"/>
        <v>0.22448931604644792</v>
      </c>
      <c r="F14" s="886">
        <f t="shared" si="2"/>
        <v>0.21659184420781902</v>
      </c>
      <c r="G14" s="886">
        <f t="shared" si="2"/>
        <v>0.22301999504814313</v>
      </c>
      <c r="H14" s="886">
        <f t="shared" si="2"/>
        <v>0.21633570812384476</v>
      </c>
      <c r="I14" s="886">
        <f t="shared" si="2"/>
        <v>0.22772605990550665</v>
      </c>
      <c r="J14" s="886">
        <f t="shared" si="2"/>
        <v>0.23901894776847721</v>
      </c>
      <c r="K14" s="887">
        <f t="shared" si="2"/>
        <v>0.24348656299193144</v>
      </c>
      <c r="L14" s="886"/>
      <c r="M14" s="886"/>
      <c r="N14" s="886"/>
      <c r="O14" s="886"/>
      <c r="P14" s="886"/>
      <c r="Q14" s="886"/>
      <c r="R14" s="886"/>
      <c r="S14" s="886"/>
      <c r="T14" s="886"/>
      <c r="U14" s="887"/>
    </row>
    <row r="15" spans="2:21" s="122" customFormat="1" ht="15.75" outlineLevel="1" x14ac:dyDescent="0.25">
      <c r="C15" s="730"/>
      <c r="D15" s="905"/>
      <c r="E15" s="905"/>
      <c r="F15" s="905"/>
      <c r="G15" s="905"/>
      <c r="H15" s="905"/>
      <c r="I15" s="905"/>
      <c r="J15" s="905"/>
      <c r="K15" s="905"/>
      <c r="L15" s="905"/>
      <c r="M15" s="905"/>
      <c r="N15" s="905"/>
      <c r="O15" s="905"/>
      <c r="P15" s="905"/>
      <c r="Q15" s="905"/>
      <c r="R15" s="905"/>
      <c r="S15" s="905"/>
      <c r="T15" s="905"/>
      <c r="U15" s="905"/>
    </row>
    <row r="16" spans="2:21" s="122" customFormat="1" ht="15.75" outlineLevel="1" x14ac:dyDescent="0.25">
      <c r="C16" s="888"/>
      <c r="D16" s="904"/>
      <c r="E16" s="904"/>
      <c r="F16" s="990">
        <f>+F22</f>
        <v>2016</v>
      </c>
      <c r="G16" s="991">
        <f t="shared" ref="G16:O16" si="3">+F16+1</f>
        <v>2017</v>
      </c>
      <c r="H16" s="991">
        <f t="shared" si="3"/>
        <v>2018</v>
      </c>
      <c r="I16" s="991">
        <f t="shared" si="3"/>
        <v>2019</v>
      </c>
      <c r="J16" s="991">
        <f t="shared" si="3"/>
        <v>2020</v>
      </c>
      <c r="K16" s="991">
        <f t="shared" si="3"/>
        <v>2021</v>
      </c>
      <c r="L16" s="991">
        <f t="shared" si="3"/>
        <v>2022</v>
      </c>
      <c r="M16" s="991">
        <f t="shared" si="3"/>
        <v>2023</v>
      </c>
      <c r="N16" s="991">
        <f t="shared" si="3"/>
        <v>2024</v>
      </c>
      <c r="O16" s="992">
        <f t="shared" si="3"/>
        <v>2025</v>
      </c>
      <c r="P16" s="905"/>
      <c r="Q16" s="905"/>
      <c r="R16" s="905"/>
      <c r="S16" s="905"/>
      <c r="T16" s="905"/>
      <c r="U16" s="905"/>
    </row>
    <row r="17" spans="3:21" s="122" customFormat="1" ht="15.75" outlineLevel="1" x14ac:dyDescent="0.25">
      <c r="C17" s="993"/>
      <c r="D17" s="994"/>
      <c r="E17" s="995" t="s">
        <v>790</v>
      </c>
      <c r="F17" s="996">
        <f>+Vars!L6</f>
        <v>0.08</v>
      </c>
      <c r="G17" s="997">
        <f>+Vars!M6</f>
        <v>7.0000000000000007E-2</v>
      </c>
      <c r="H17" s="997">
        <f>+Vars!N6</f>
        <v>0.06</v>
      </c>
      <c r="I17" s="997">
        <f>+Vars!O6</f>
        <v>0.06</v>
      </c>
      <c r="J17" s="997">
        <f>+Vars!P6</f>
        <v>0.06</v>
      </c>
      <c r="K17" s="997">
        <f>+Vars!Q6</f>
        <v>0.05</v>
      </c>
      <c r="L17" s="997">
        <f>+Vars!R6</f>
        <v>0.04</v>
      </c>
      <c r="M17" s="997">
        <f>+Vars!S6</f>
        <v>0.04</v>
      </c>
      <c r="N17" s="997">
        <f>+Vars!T6</f>
        <v>0.04</v>
      </c>
      <c r="O17" s="998">
        <f>+Vars!U6</f>
        <v>0.04</v>
      </c>
    </row>
    <row r="18" spans="3:21" s="122" customFormat="1" ht="15.75" outlineLevel="1" x14ac:dyDescent="0.25">
      <c r="C18" s="999"/>
      <c r="D18" s="1000"/>
      <c r="E18" s="1001" t="s">
        <v>792</v>
      </c>
      <c r="F18" s="1002">
        <f>+L9/K9-1</f>
        <v>0.12154626262354462</v>
      </c>
      <c r="G18" s="1003">
        <f t="shared" ref="G18:O18" si="4">+M9/L9-1</f>
        <v>0.1113810090803844</v>
      </c>
      <c r="H18" s="1003">
        <f t="shared" si="4"/>
        <v>0.10121011617507292</v>
      </c>
      <c r="I18" s="1003">
        <f t="shared" si="4"/>
        <v>0.10142435044477494</v>
      </c>
      <c r="J18" s="1003">
        <f t="shared" si="4"/>
        <v>0.10163690248535451</v>
      </c>
      <c r="K18" s="1003">
        <f t="shared" si="4"/>
        <v>9.940577863325295E-2</v>
      </c>
      <c r="L18" s="1003">
        <f t="shared" si="4"/>
        <v>8.258837311206535E-2</v>
      </c>
      <c r="M18" s="1003">
        <f t="shared" si="4"/>
        <v>7.5942822282498268E-2</v>
      </c>
      <c r="N18" s="1003">
        <f t="shared" si="4"/>
        <v>6.9070717648241464E-2</v>
      </c>
      <c r="O18" s="1004">
        <f t="shared" si="4"/>
        <v>6.9140221424923931E-2</v>
      </c>
    </row>
    <row r="19" spans="3:21" s="122" customFormat="1" ht="15.75" outlineLevel="1" x14ac:dyDescent="0.25">
      <c r="C19" s="999"/>
      <c r="D19" s="1000"/>
      <c r="E19" s="1001" t="s">
        <v>789</v>
      </c>
      <c r="F19" s="1005">
        <f>+F17</f>
        <v>0.08</v>
      </c>
      <c r="G19" s="1006">
        <f t="shared" ref="G19:O19" si="5">+G17</f>
        <v>7.0000000000000007E-2</v>
      </c>
      <c r="H19" s="1006">
        <f t="shared" si="5"/>
        <v>0.06</v>
      </c>
      <c r="I19" s="1006">
        <f t="shared" si="5"/>
        <v>0.06</v>
      </c>
      <c r="J19" s="1006">
        <f t="shared" si="5"/>
        <v>0.06</v>
      </c>
      <c r="K19" s="1006">
        <f t="shared" si="5"/>
        <v>0.05</v>
      </c>
      <c r="L19" s="1006">
        <f t="shared" si="5"/>
        <v>0.04</v>
      </c>
      <c r="M19" s="1006">
        <f t="shared" si="5"/>
        <v>0.04</v>
      </c>
      <c r="N19" s="1006">
        <f t="shared" si="5"/>
        <v>0.04</v>
      </c>
      <c r="O19" s="1007">
        <f t="shared" si="5"/>
        <v>0.04</v>
      </c>
    </row>
    <row r="20" spans="3:21" s="122" customFormat="1" ht="15.75" outlineLevel="1" x14ac:dyDescent="0.25">
      <c r="C20" s="1008"/>
      <c r="D20" s="1009"/>
      <c r="E20" s="1010" t="s">
        <v>791</v>
      </c>
      <c r="F20" s="1011">
        <f>+F18</f>
        <v>0.12154626262354462</v>
      </c>
      <c r="G20" s="1012">
        <f t="shared" ref="G20:O20" si="6">+G18</f>
        <v>0.1113810090803844</v>
      </c>
      <c r="H20" s="1012">
        <f t="shared" si="6"/>
        <v>0.10121011617507292</v>
      </c>
      <c r="I20" s="1012">
        <f t="shared" si="6"/>
        <v>0.10142435044477494</v>
      </c>
      <c r="J20" s="1012">
        <f t="shared" si="6"/>
        <v>0.10163690248535451</v>
      </c>
      <c r="K20" s="1012">
        <f t="shared" si="6"/>
        <v>9.940577863325295E-2</v>
      </c>
      <c r="L20" s="1012">
        <f t="shared" si="6"/>
        <v>8.258837311206535E-2</v>
      </c>
      <c r="M20" s="1012">
        <f t="shared" si="6"/>
        <v>7.5942822282498268E-2</v>
      </c>
      <c r="N20" s="1012">
        <f t="shared" si="6"/>
        <v>6.9070717648241464E-2</v>
      </c>
      <c r="O20" s="1013">
        <f t="shared" si="6"/>
        <v>6.9140221424923931E-2</v>
      </c>
    </row>
    <row r="21" spans="3:21" s="122" customFormat="1" ht="15.75" outlineLevel="1" x14ac:dyDescent="0.25"/>
    <row r="22" spans="3:21" s="975" customFormat="1" ht="15.75" outlineLevel="1" x14ac:dyDescent="0.25">
      <c r="C22" s="901" t="s">
        <v>786</v>
      </c>
      <c r="D22" s="1014" t="s">
        <v>288</v>
      </c>
      <c r="E22" s="1015">
        <v>2015</v>
      </c>
      <c r="F22" s="991">
        <f>+E22+1</f>
        <v>2016</v>
      </c>
      <c r="G22" s="991">
        <f t="shared" ref="G22:O22" si="7">+F22+1</f>
        <v>2017</v>
      </c>
      <c r="H22" s="991">
        <f t="shared" si="7"/>
        <v>2018</v>
      </c>
      <c r="I22" s="991">
        <f t="shared" si="7"/>
        <v>2019</v>
      </c>
      <c r="J22" s="991">
        <f t="shared" si="7"/>
        <v>2020</v>
      </c>
      <c r="K22" s="991">
        <f t="shared" si="7"/>
        <v>2021</v>
      </c>
      <c r="L22" s="991">
        <f t="shared" si="7"/>
        <v>2022</v>
      </c>
      <c r="M22" s="991">
        <f t="shared" si="7"/>
        <v>2023</v>
      </c>
      <c r="N22" s="991">
        <f t="shared" si="7"/>
        <v>2024</v>
      </c>
      <c r="O22" s="992">
        <f t="shared" si="7"/>
        <v>2025</v>
      </c>
      <c r="P22" s="906"/>
      <c r="Q22" s="122"/>
      <c r="R22" s="122"/>
      <c r="S22" s="906"/>
      <c r="T22" s="906"/>
      <c r="U22" s="906"/>
    </row>
    <row r="23" spans="3:21" s="122" customFormat="1" ht="15.75" outlineLevel="1" x14ac:dyDescent="0.25">
      <c r="C23" s="874" t="s">
        <v>787</v>
      </c>
      <c r="D23" s="1016">
        <v>0.9</v>
      </c>
      <c r="E23" s="1017">
        <f>+D23*$K$10</f>
        <v>112.65570000000001</v>
      </c>
      <c r="F23" s="1018">
        <f>+E23*(1+F19)</f>
        <v>121.66815600000002</v>
      </c>
      <c r="G23" s="1018">
        <f t="shared" ref="G23:O24" si="8">+F23*(1+G19)</f>
        <v>130.18492692000004</v>
      </c>
      <c r="H23" s="1018">
        <f t="shared" si="8"/>
        <v>137.99602253520004</v>
      </c>
      <c r="I23" s="1018">
        <f t="shared" si="8"/>
        <v>146.27578388731206</v>
      </c>
      <c r="J23" s="1018">
        <f t="shared" si="8"/>
        <v>155.05233092055079</v>
      </c>
      <c r="K23" s="1018">
        <f t="shared" si="8"/>
        <v>162.80494746657834</v>
      </c>
      <c r="L23" s="1018">
        <f t="shared" si="8"/>
        <v>169.31714536524149</v>
      </c>
      <c r="M23" s="1018">
        <f t="shared" si="8"/>
        <v>176.08983117985116</v>
      </c>
      <c r="N23" s="1018">
        <f t="shared" si="8"/>
        <v>183.13342442704521</v>
      </c>
      <c r="O23" s="1019">
        <f t="shared" si="8"/>
        <v>190.45876140412702</v>
      </c>
      <c r="P23" s="905"/>
      <c r="Q23" s="905"/>
      <c r="R23" s="905"/>
      <c r="S23" s="905"/>
      <c r="T23" s="905"/>
      <c r="U23" s="905"/>
    </row>
    <row r="24" spans="3:21" s="122" customFormat="1" ht="15.75" outlineLevel="1" x14ac:dyDescent="0.25">
      <c r="C24" s="880" t="s">
        <v>788</v>
      </c>
      <c r="D24" s="1020">
        <f>1-D23</f>
        <v>9.9999999999999978E-2</v>
      </c>
      <c r="E24" s="1017">
        <f>+D24*$K$10</f>
        <v>12.517299999999997</v>
      </c>
      <c r="F24" s="1021">
        <f>+E24*(1+F20)</f>
        <v>14.038731033137692</v>
      </c>
      <c r="G24" s="1021">
        <f t="shared" si="8"/>
        <v>15.602379061816675</v>
      </c>
      <c r="H24" s="1021">
        <f t="shared" si="8"/>
        <v>17.181497659270665</v>
      </c>
      <c r="I24" s="1021">
        <f t="shared" si="8"/>
        <v>18.924119899030615</v>
      </c>
      <c r="J24" s="1021">
        <f t="shared" si="8"/>
        <v>20.847508827829547</v>
      </c>
      <c r="K24" s="1021">
        <f t="shared" si="8"/>
        <v>22.919871675423558</v>
      </c>
      <c r="L24" s="1021">
        <f t="shared" si="8"/>
        <v>24.812786589034097</v>
      </c>
      <c r="M24" s="1021">
        <f t="shared" si="8"/>
        <v>26.697139631298668</v>
      </c>
      <c r="N24" s="1021">
        <f t="shared" si="8"/>
        <v>28.541130224787775</v>
      </c>
      <c r="O24" s="1022">
        <f t="shared" si="8"/>
        <v>30.514470288247189</v>
      </c>
      <c r="P24" s="905"/>
      <c r="Q24" s="905"/>
      <c r="R24" s="905"/>
      <c r="S24" s="905"/>
      <c r="T24" s="905"/>
      <c r="U24" s="905"/>
    </row>
    <row r="25" spans="3:21" s="122" customFormat="1" ht="15.75" outlineLevel="1" x14ac:dyDescent="0.25">
      <c r="C25" s="880"/>
      <c r="D25" s="2097" t="s">
        <v>793</v>
      </c>
      <c r="E25" s="2098"/>
      <c r="F25" s="1023">
        <f>+F24+F23</f>
        <v>135.70688703313772</v>
      </c>
      <c r="G25" s="1023">
        <f t="shared" ref="G25:O25" si="9">+G24+G23</f>
        <v>145.7873059818167</v>
      </c>
      <c r="H25" s="1023">
        <f t="shared" si="9"/>
        <v>155.1775201944707</v>
      </c>
      <c r="I25" s="1023">
        <f t="shared" si="9"/>
        <v>165.19990378634267</v>
      </c>
      <c r="J25" s="1023">
        <f t="shared" si="9"/>
        <v>175.89983974838034</v>
      </c>
      <c r="K25" s="1023">
        <f t="shared" si="9"/>
        <v>185.72481914200191</v>
      </c>
      <c r="L25" s="1023">
        <f t="shared" si="9"/>
        <v>194.12993195427558</v>
      </c>
      <c r="M25" s="1023">
        <f t="shared" si="9"/>
        <v>202.78697081114984</v>
      </c>
      <c r="N25" s="1023">
        <f t="shared" si="9"/>
        <v>211.67455465183298</v>
      </c>
      <c r="O25" s="1024">
        <f t="shared" si="9"/>
        <v>220.97323169237421</v>
      </c>
      <c r="P25" s="905"/>
      <c r="Q25" s="905"/>
      <c r="R25" s="905"/>
      <c r="S25" s="905"/>
      <c r="T25" s="905"/>
      <c r="U25" s="905"/>
    </row>
    <row r="26" spans="3:21" s="975" customFormat="1" ht="15.75" outlineLevel="1" x14ac:dyDescent="0.25">
      <c r="C26" s="901" t="s">
        <v>304</v>
      </c>
      <c r="D26" s="1014" t="s">
        <v>288</v>
      </c>
      <c r="E26" s="1015">
        <v>2015</v>
      </c>
      <c r="F26" s="1025"/>
      <c r="G26" s="1025"/>
      <c r="H26" s="1025"/>
      <c r="I26" s="1025"/>
      <c r="J26" s="1025"/>
      <c r="K26" s="1025"/>
      <c r="L26" s="1025"/>
      <c r="M26" s="1025"/>
      <c r="N26" s="1025"/>
      <c r="O26" s="1026"/>
      <c r="P26" s="906"/>
      <c r="Q26" s="906"/>
      <c r="R26" s="906"/>
      <c r="S26" s="906"/>
      <c r="T26" s="906"/>
      <c r="U26" s="906"/>
    </row>
    <row r="27" spans="3:21" s="122" customFormat="1" ht="15.75" outlineLevel="1" x14ac:dyDescent="0.25">
      <c r="C27" s="874" t="s">
        <v>787</v>
      </c>
      <c r="D27" s="1016">
        <v>0.1</v>
      </c>
      <c r="E27" s="1017">
        <f>+D27*$K$11</f>
        <v>272.20140000000004</v>
      </c>
      <c r="F27" s="1018">
        <f>+E27*(1+F19)</f>
        <v>293.97751200000005</v>
      </c>
      <c r="G27" s="1018">
        <f t="shared" ref="G27:O27" si="10">+F27*(1+G19)</f>
        <v>314.55593784000007</v>
      </c>
      <c r="H27" s="1018">
        <f t="shared" si="10"/>
        <v>333.42929411040006</v>
      </c>
      <c r="I27" s="1018">
        <f t="shared" si="10"/>
        <v>353.4350517570241</v>
      </c>
      <c r="J27" s="1018">
        <f t="shared" si="10"/>
        <v>374.64115486244555</v>
      </c>
      <c r="K27" s="1018">
        <f t="shared" si="10"/>
        <v>393.37321260556786</v>
      </c>
      <c r="L27" s="1018">
        <f t="shared" si="10"/>
        <v>409.10814110979061</v>
      </c>
      <c r="M27" s="1018">
        <f t="shared" si="10"/>
        <v>425.47246675418222</v>
      </c>
      <c r="N27" s="1018">
        <f t="shared" si="10"/>
        <v>442.49136542434951</v>
      </c>
      <c r="O27" s="1019">
        <f t="shared" si="10"/>
        <v>460.1910200413235</v>
      </c>
      <c r="P27" s="905"/>
      <c r="Q27" s="905"/>
      <c r="R27" s="905"/>
      <c r="S27" s="905"/>
      <c r="T27" s="905"/>
      <c r="U27" s="905"/>
    </row>
    <row r="28" spans="3:21" s="122" customFormat="1" ht="15.75" outlineLevel="1" x14ac:dyDescent="0.25">
      <c r="C28" s="880" t="s">
        <v>788</v>
      </c>
      <c r="D28" s="1020">
        <f>1-D27</f>
        <v>0.9</v>
      </c>
      <c r="E28" s="1017">
        <f>+D28*$K$11</f>
        <v>2449.8126000000002</v>
      </c>
      <c r="F28" s="1021">
        <f>+E28*(1+F20)</f>
        <v>2747.5781656580689</v>
      </c>
      <c r="G28" s="1021">
        <f t="shared" ref="G28:O28" si="11">+F28*(1+G20)</f>
        <v>3053.6061942762963</v>
      </c>
      <c r="H28" s="1021">
        <f t="shared" si="11"/>
        <v>3362.6620319519225</v>
      </c>
      <c r="I28" s="1021">
        <f t="shared" si="11"/>
        <v>3703.7178443079533</v>
      </c>
      <c r="J28" s="1021">
        <f t="shared" si="11"/>
        <v>4080.152253683148</v>
      </c>
      <c r="K28" s="1021">
        <f t="shared" si="11"/>
        <v>4485.7429654027428</v>
      </c>
      <c r="L28" s="1021">
        <f t="shared" si="11"/>
        <v>4856.2131791142474</v>
      </c>
      <c r="M28" s="1021">
        <f t="shared" si="11"/>
        <v>5225.0077135416468</v>
      </c>
      <c r="N28" s="1021">
        <f t="shared" si="11"/>
        <v>5585.9027460335656</v>
      </c>
      <c r="O28" s="1022">
        <f t="shared" si="11"/>
        <v>5972.113298752417</v>
      </c>
      <c r="P28" s="905"/>
      <c r="Q28" s="905"/>
      <c r="R28" s="905"/>
      <c r="S28" s="905"/>
      <c r="T28" s="905"/>
      <c r="U28" s="905"/>
    </row>
    <row r="29" spans="3:21" s="122" customFormat="1" ht="15.75" outlineLevel="1" x14ac:dyDescent="0.25">
      <c r="C29" s="880"/>
      <c r="D29" s="2097" t="s">
        <v>793</v>
      </c>
      <c r="E29" s="2098"/>
      <c r="F29" s="1023">
        <f t="shared" ref="F29:O29" si="12">+F28+F27</f>
        <v>3041.5556776580688</v>
      </c>
      <c r="G29" s="1023">
        <f t="shared" si="12"/>
        <v>3368.1621321162966</v>
      </c>
      <c r="H29" s="1023">
        <f t="shared" si="12"/>
        <v>3696.0913260623224</v>
      </c>
      <c r="I29" s="1023">
        <f t="shared" si="12"/>
        <v>4057.1528960649775</v>
      </c>
      <c r="J29" s="1023">
        <f t="shared" si="12"/>
        <v>4454.7934085455936</v>
      </c>
      <c r="K29" s="1023">
        <f t="shared" si="12"/>
        <v>4879.1161780083103</v>
      </c>
      <c r="L29" s="1023">
        <f t="shared" si="12"/>
        <v>5265.3213202240377</v>
      </c>
      <c r="M29" s="1023">
        <f t="shared" si="12"/>
        <v>5650.4801802958291</v>
      </c>
      <c r="N29" s="1023">
        <f t="shared" si="12"/>
        <v>6028.3941114579147</v>
      </c>
      <c r="O29" s="1024">
        <f t="shared" si="12"/>
        <v>6432.3043187937401</v>
      </c>
      <c r="P29" s="905"/>
      <c r="Q29" s="905"/>
      <c r="R29" s="905"/>
      <c r="S29" s="905"/>
      <c r="T29" s="905"/>
      <c r="U29" s="905"/>
    </row>
    <row r="30" spans="3:21" s="975" customFormat="1" ht="15.75" outlineLevel="1" x14ac:dyDescent="0.25">
      <c r="C30" s="901" t="s">
        <v>305</v>
      </c>
      <c r="D30" s="1014" t="s">
        <v>288</v>
      </c>
      <c r="E30" s="1015">
        <v>2015</v>
      </c>
      <c r="F30" s="1025"/>
      <c r="G30" s="1025"/>
      <c r="H30" s="1025"/>
      <c r="I30" s="1025"/>
      <c r="J30" s="1025"/>
      <c r="K30" s="1025"/>
      <c r="L30" s="1025"/>
      <c r="M30" s="1025"/>
      <c r="N30" s="1025"/>
      <c r="O30" s="1026"/>
      <c r="P30" s="906"/>
      <c r="Q30" s="906"/>
      <c r="R30" s="906"/>
      <c r="S30" s="906"/>
      <c r="T30" s="906"/>
      <c r="U30" s="906"/>
    </row>
    <row r="31" spans="3:21" s="122" customFormat="1" ht="15.75" outlineLevel="1" x14ac:dyDescent="0.25">
      <c r="C31" s="874" t="s">
        <v>787</v>
      </c>
      <c r="D31" s="1016">
        <v>0.7</v>
      </c>
      <c r="E31" s="1017">
        <f>+D31*$K$12</f>
        <v>421.44759999999997</v>
      </c>
      <c r="F31" s="1018">
        <f>+E31*(1+F19)</f>
        <v>455.163408</v>
      </c>
      <c r="G31" s="1018">
        <f t="shared" ref="G31:O31" si="13">+F31*(1+G19)</f>
        <v>487.02484656000001</v>
      </c>
      <c r="H31" s="1018">
        <f t="shared" si="13"/>
        <v>516.2463373536001</v>
      </c>
      <c r="I31" s="1018">
        <f t="shared" si="13"/>
        <v>547.22111759481618</v>
      </c>
      <c r="J31" s="1018">
        <f t="shared" si="13"/>
        <v>580.0543846505052</v>
      </c>
      <c r="K31" s="1018">
        <f t="shared" si="13"/>
        <v>609.05710388303044</v>
      </c>
      <c r="L31" s="1018">
        <f t="shared" si="13"/>
        <v>633.41938803835171</v>
      </c>
      <c r="M31" s="1018">
        <f t="shared" si="13"/>
        <v>658.75616355988575</v>
      </c>
      <c r="N31" s="1018">
        <f t="shared" si="13"/>
        <v>685.10641010228119</v>
      </c>
      <c r="O31" s="1019">
        <f t="shared" si="13"/>
        <v>712.51066650637244</v>
      </c>
      <c r="P31" s="905"/>
      <c r="Q31" s="905"/>
      <c r="R31" s="905"/>
      <c r="S31" s="905"/>
      <c r="T31" s="905"/>
      <c r="U31" s="905"/>
    </row>
    <row r="32" spans="3:21" s="122" customFormat="1" ht="15.75" outlineLevel="1" x14ac:dyDescent="0.25">
      <c r="C32" s="880" t="s">
        <v>788</v>
      </c>
      <c r="D32" s="1020">
        <f>1-D31</f>
        <v>0.30000000000000004</v>
      </c>
      <c r="E32" s="1027">
        <f>+D32*$K$12</f>
        <v>180.62040000000002</v>
      </c>
      <c r="F32" s="1021">
        <f>+E32*(1+F20)</f>
        <v>202.57413457356969</v>
      </c>
      <c r="G32" s="1021">
        <f t="shared" ref="G32:O32" si="14">+F32*(1+G20)</f>
        <v>225.13704609595948</v>
      </c>
      <c r="H32" s="1021">
        <f t="shared" si="14"/>
        <v>247.92319268664428</v>
      </c>
      <c r="I32" s="1021">
        <f t="shared" si="14"/>
        <v>273.06864146508195</v>
      </c>
      <c r="J32" s="1021">
        <f t="shared" si="14"/>
        <v>300.8224923494767</v>
      </c>
      <c r="K32" s="1021">
        <f t="shared" si="14"/>
        <v>330.72598643187223</v>
      </c>
      <c r="L32" s="1021">
        <f t="shared" si="14"/>
        <v>358.04010759716357</v>
      </c>
      <c r="M32" s="1021">
        <f t="shared" si="14"/>
        <v>385.23068385842151</v>
      </c>
      <c r="N32" s="1021">
        <f t="shared" si="14"/>
        <v>411.83884365264549</v>
      </c>
      <c r="O32" s="1022">
        <f t="shared" si="14"/>
        <v>440.31347249417405</v>
      </c>
      <c r="P32" s="905"/>
      <c r="Q32" s="905"/>
      <c r="R32" s="905"/>
      <c r="S32" s="905"/>
      <c r="T32" s="905"/>
      <c r="U32" s="905"/>
    </row>
    <row r="33" spans="2:21" s="122" customFormat="1" ht="15.75" outlineLevel="1" x14ac:dyDescent="0.25">
      <c r="C33" s="880"/>
      <c r="D33" s="2097" t="s">
        <v>793</v>
      </c>
      <c r="E33" s="2098"/>
      <c r="F33" s="1023">
        <f t="shared" ref="F33:O33" si="15">+F32+F31</f>
        <v>657.73754257356973</v>
      </c>
      <c r="G33" s="1023">
        <f t="shared" si="15"/>
        <v>712.16189265595949</v>
      </c>
      <c r="H33" s="1023">
        <f t="shared" si="15"/>
        <v>764.16953004024435</v>
      </c>
      <c r="I33" s="1023">
        <f t="shared" si="15"/>
        <v>820.28975905989819</v>
      </c>
      <c r="J33" s="1023">
        <f t="shared" si="15"/>
        <v>880.87687699998196</v>
      </c>
      <c r="K33" s="1023">
        <f t="shared" si="15"/>
        <v>939.78309031490267</v>
      </c>
      <c r="L33" s="1023">
        <f t="shared" si="15"/>
        <v>991.45949563551528</v>
      </c>
      <c r="M33" s="1023">
        <f t="shared" si="15"/>
        <v>1043.9868474183072</v>
      </c>
      <c r="N33" s="1023">
        <f t="shared" si="15"/>
        <v>1096.9452537549266</v>
      </c>
      <c r="O33" s="1024">
        <f t="shared" si="15"/>
        <v>1152.8241390005464</v>
      </c>
      <c r="P33" s="905"/>
      <c r="Q33" s="905"/>
      <c r="R33" s="905"/>
      <c r="S33" s="905"/>
      <c r="T33" s="905"/>
      <c r="U33" s="905"/>
    </row>
    <row r="34" spans="2:21" ht="15" customHeight="1" thickBot="1" x14ac:dyDescent="0.3">
      <c r="C34" s="138"/>
      <c r="D34" s="301"/>
      <c r="E34" s="301"/>
      <c r="F34" s="301"/>
      <c r="G34" s="301"/>
      <c r="H34" s="301"/>
      <c r="I34" s="301"/>
      <c r="J34" s="301"/>
      <c r="K34" s="301"/>
      <c r="L34" s="301"/>
      <c r="M34" s="301"/>
      <c r="N34" s="301"/>
      <c r="O34" s="301"/>
      <c r="P34" s="301"/>
      <c r="Q34" s="301"/>
      <c r="R34" s="301"/>
      <c r="S34" s="301"/>
      <c r="T34" s="301"/>
      <c r="U34" s="301"/>
    </row>
    <row r="35" spans="2:21" s="319" customFormat="1" ht="19.5" thickBot="1" x14ac:dyDescent="0.35">
      <c r="B35" s="1280" t="s">
        <v>265</v>
      </c>
      <c r="C35" s="1281" t="s">
        <v>1154</v>
      </c>
      <c r="D35" s="1282"/>
      <c r="E35" s="1282"/>
      <c r="F35" s="1282"/>
      <c r="G35" s="1283"/>
      <c r="H35" s="1284"/>
      <c r="I35" s="1285"/>
      <c r="J35" s="1285"/>
      <c r="K35" s="1285"/>
      <c r="L35" s="1286"/>
      <c r="M35" s="1286"/>
      <c r="N35" s="1286"/>
      <c r="O35" s="1286"/>
      <c r="P35" s="1286"/>
      <c r="Q35" s="1286"/>
      <c r="R35" s="1286"/>
      <c r="S35" s="1286"/>
      <c r="T35" s="1286"/>
      <c r="U35" s="1287"/>
    </row>
    <row r="36" spans="2:21" s="730" customFormat="1" ht="15.75" outlineLevel="1" x14ac:dyDescent="0.25">
      <c r="C36" s="725" t="s">
        <v>252</v>
      </c>
      <c r="D36" s="872">
        <v>1</v>
      </c>
      <c r="E36" s="872">
        <f t="shared" ref="E36:K36" si="16">D36+1</f>
        <v>2</v>
      </c>
      <c r="F36" s="872">
        <f t="shared" si="16"/>
        <v>3</v>
      </c>
      <c r="G36" s="872">
        <f t="shared" si="16"/>
        <v>4</v>
      </c>
      <c r="H36" s="872">
        <f t="shared" si="16"/>
        <v>5</v>
      </c>
      <c r="I36" s="872">
        <f t="shared" si="16"/>
        <v>6</v>
      </c>
      <c r="J36" s="872">
        <f t="shared" si="16"/>
        <v>7</v>
      </c>
      <c r="K36" s="872">
        <f t="shared" si="16"/>
        <v>8</v>
      </c>
      <c r="L36" s="122"/>
      <c r="M36" s="122"/>
      <c r="N36" s="122"/>
      <c r="O36" s="122"/>
      <c r="P36" s="122"/>
      <c r="Q36" s="122"/>
      <c r="R36" s="122"/>
      <c r="S36" s="122"/>
      <c r="T36" s="122"/>
      <c r="U36" s="122"/>
    </row>
    <row r="37" spans="2:21" s="730" customFormat="1" ht="16.5" outlineLevel="1" thickBot="1" x14ac:dyDescent="0.3">
      <c r="C37" s="873"/>
      <c r="D37" s="511" t="str">
        <f>Sales!D21</f>
        <v>2008</v>
      </c>
      <c r="E37" s="512" t="str">
        <f>Sales!E21</f>
        <v>2009</v>
      </c>
      <c r="F37" s="512" t="str">
        <f>Sales!F21</f>
        <v>2010</v>
      </c>
      <c r="G37" s="512" t="str">
        <f>Sales!G21</f>
        <v>2011</v>
      </c>
      <c r="H37" s="512" t="str">
        <f>Sales!H21</f>
        <v>2012</v>
      </c>
      <c r="I37" s="512" t="str">
        <f>Sales!I21</f>
        <v>2013</v>
      </c>
      <c r="J37" s="512" t="str">
        <f>Sales!J21</f>
        <v>2014</v>
      </c>
      <c r="K37" s="513" t="str">
        <f>Sales!K21</f>
        <v>2015</v>
      </c>
      <c r="L37" s="512">
        <f t="shared" ref="L37:U37" si="17">K37+1</f>
        <v>2016</v>
      </c>
      <c r="M37" s="512">
        <f t="shared" si="17"/>
        <v>2017</v>
      </c>
      <c r="N37" s="512">
        <f t="shared" si="17"/>
        <v>2018</v>
      </c>
      <c r="O37" s="512">
        <f t="shared" si="17"/>
        <v>2019</v>
      </c>
      <c r="P37" s="512">
        <f t="shared" si="17"/>
        <v>2020</v>
      </c>
      <c r="Q37" s="512">
        <f t="shared" si="17"/>
        <v>2021</v>
      </c>
      <c r="R37" s="512">
        <f t="shared" si="17"/>
        <v>2022</v>
      </c>
      <c r="S37" s="512">
        <f t="shared" si="17"/>
        <v>2023</v>
      </c>
      <c r="T37" s="512">
        <f t="shared" si="17"/>
        <v>2024</v>
      </c>
      <c r="U37" s="513">
        <f t="shared" si="17"/>
        <v>2025</v>
      </c>
    </row>
    <row r="38" spans="2:21" s="730" customFormat="1" ht="15.75" outlineLevel="1" x14ac:dyDescent="0.25">
      <c r="C38" s="874" t="s">
        <v>238</v>
      </c>
      <c r="D38" s="875">
        <f t="shared" ref="D38:U38" si="18">D9</f>
        <v>6775.5379999999996</v>
      </c>
      <c r="E38" s="876">
        <f t="shared" si="18"/>
        <v>6591.8950000000004</v>
      </c>
      <c r="F38" s="876">
        <f t="shared" si="18"/>
        <v>6936.42</v>
      </c>
      <c r="G38" s="876">
        <f t="shared" si="18"/>
        <v>8437.2389999999996</v>
      </c>
      <c r="H38" s="876">
        <f t="shared" si="18"/>
        <v>10556.861000000001</v>
      </c>
      <c r="I38" s="876">
        <f t="shared" si="18"/>
        <v>11097.710999999999</v>
      </c>
      <c r="J38" s="876">
        <f t="shared" si="18"/>
        <v>12514.032999999999</v>
      </c>
      <c r="K38" s="877">
        <f t="shared" si="18"/>
        <v>14166.1</v>
      </c>
      <c r="L38" s="878">
        <f t="shared" si="18"/>
        <v>15887.936510951396</v>
      </c>
      <c r="M38" s="879">
        <f t="shared" si="18"/>
        <v>17657.550911746246</v>
      </c>
      <c r="N38" s="879">
        <f t="shared" si="18"/>
        <v>19444.673690891348</v>
      </c>
      <c r="O38" s="879">
        <f t="shared" si="18"/>
        <v>21416.837089600605</v>
      </c>
      <c r="P38" s="879">
        <f t="shared" si="18"/>
        <v>23593.578072421064</v>
      </c>
      <c r="Q38" s="879">
        <f t="shared" si="18"/>
        <v>25938.916071454521</v>
      </c>
      <c r="R38" s="879">
        <f t="shared" si="18"/>
        <v>28081.168950086354</v>
      </c>
      <c r="S38" s="879">
        <f t="shared" si="18"/>
        <v>30213.732173147568</v>
      </c>
      <c r="T38" s="879">
        <f t="shared" si="18"/>
        <v>32300.616337178635</v>
      </c>
      <c r="U38" s="879">
        <f t="shared" si="18"/>
        <v>34533.888102892684</v>
      </c>
    </row>
    <row r="39" spans="2:21" s="730" customFormat="1" ht="15.75" outlineLevel="1" x14ac:dyDescent="0.25">
      <c r="C39" s="874" t="s">
        <v>303</v>
      </c>
      <c r="D39" s="875">
        <f>+D10</f>
        <v>54.517000000000003</v>
      </c>
      <c r="E39" s="876">
        <f t="shared" ref="E39:K39" si="19">+E10</f>
        <v>48.48</v>
      </c>
      <c r="F39" s="876">
        <f t="shared" si="19"/>
        <v>60.52</v>
      </c>
      <c r="G39" s="876">
        <f t="shared" si="19"/>
        <v>64.846999999999994</v>
      </c>
      <c r="H39" s="876">
        <f t="shared" si="19"/>
        <v>72.998000000000005</v>
      </c>
      <c r="I39" s="876">
        <f t="shared" si="19"/>
        <v>83.206999999999994</v>
      </c>
      <c r="J39" s="876">
        <f t="shared" si="19"/>
        <v>102.05500000000001</v>
      </c>
      <c r="K39" s="877">
        <f t="shared" si="19"/>
        <v>125.173</v>
      </c>
      <c r="L39" s="1028">
        <f>+I49</f>
        <v>140.38731033137697</v>
      </c>
      <c r="M39" s="1028">
        <f t="shared" ref="M39:U39" si="20">+J49</f>
        <v>156.0237906181668</v>
      </c>
      <c r="N39" s="1028">
        <f t="shared" si="20"/>
        <v>171.81497659270673</v>
      </c>
      <c r="O39" s="1028">
        <f t="shared" si="20"/>
        <v>189.2411989903062</v>
      </c>
      <c r="P39" s="1028">
        <f t="shared" si="20"/>
        <v>208.47508827829549</v>
      </c>
      <c r="Q39" s="1028">
        <f t="shared" si="20"/>
        <v>224.35229365687965</v>
      </c>
      <c r="R39" s="1028">
        <f t="shared" si="20"/>
        <v>237.6345032975824</v>
      </c>
      <c r="S39" s="1028">
        <f t="shared" si="20"/>
        <v>250.0360090680573</v>
      </c>
      <c r="T39" s="1028">
        <f t="shared" si="20"/>
        <v>261.27113345376108</v>
      </c>
      <c r="U39" s="1028">
        <f t="shared" si="20"/>
        <v>272.88317112025072</v>
      </c>
    </row>
    <row r="40" spans="2:21" s="730" customFormat="1" ht="15.75" outlineLevel="1" x14ac:dyDescent="0.25">
      <c r="C40" s="874" t="s">
        <v>304</v>
      </c>
      <c r="D40" s="875">
        <f t="shared" ref="D40:D41" si="21">+D11</f>
        <v>1080.5239999999999</v>
      </c>
      <c r="E40" s="876">
        <f t="shared" ref="E40:K40" si="22">+E11</f>
        <v>1105.7249999999999</v>
      </c>
      <c r="F40" s="876">
        <f t="shared" si="22"/>
        <v>1161.489</v>
      </c>
      <c r="G40" s="876">
        <f t="shared" si="22"/>
        <v>1474.2539999999999</v>
      </c>
      <c r="H40" s="876">
        <f t="shared" si="22"/>
        <v>1820.9</v>
      </c>
      <c r="I40" s="876">
        <f t="shared" si="22"/>
        <v>2013.0329999999999</v>
      </c>
      <c r="J40" s="876">
        <f t="shared" si="22"/>
        <v>2356.2469999999998</v>
      </c>
      <c r="K40" s="877">
        <f t="shared" si="22"/>
        <v>2722.0140000000001</v>
      </c>
      <c r="L40" s="1028">
        <f>+I56</f>
        <v>2916.6873055447795</v>
      </c>
      <c r="M40" s="1028">
        <f t="shared" ref="M40:U40" si="23">+J56</f>
        <v>3241.550880808305</v>
      </c>
      <c r="N40" s="1028">
        <f t="shared" si="23"/>
        <v>3569.6286220423235</v>
      </c>
      <c r="O40" s="1028">
        <f t="shared" si="23"/>
        <v>3931.6758863620425</v>
      </c>
      <c r="P40" s="1028">
        <f t="shared" si="23"/>
        <v>4331.2792450282404</v>
      </c>
      <c r="Q40" s="1028">
        <f t="shared" si="23"/>
        <v>4719.7339993692622</v>
      </c>
      <c r="R40" s="1028">
        <f t="shared" si="23"/>
        <v>5063.9527968541879</v>
      </c>
      <c r="S40" s="1028">
        <f t="shared" si="23"/>
        <v>5399.4861120765199</v>
      </c>
      <c r="T40" s="1028">
        <f t="shared" si="23"/>
        <v>5720.0078817796229</v>
      </c>
      <c r="U40" s="1028">
        <f t="shared" si="23"/>
        <v>6059.4412330764926</v>
      </c>
    </row>
    <row r="41" spans="2:21" s="730" customFormat="1" ht="15.75" outlineLevel="1" x14ac:dyDescent="0.25">
      <c r="C41" s="880" t="s">
        <v>305</v>
      </c>
      <c r="D41" s="881">
        <f t="shared" si="21"/>
        <v>295.61599999999999</v>
      </c>
      <c r="E41" s="882">
        <f t="shared" ref="E41:K41" si="24">+E12</f>
        <v>325.60500000000002</v>
      </c>
      <c r="F41" s="882">
        <f t="shared" si="24"/>
        <v>280.363</v>
      </c>
      <c r="G41" s="882">
        <f t="shared" si="24"/>
        <v>342.572</v>
      </c>
      <c r="H41" s="882">
        <f t="shared" si="24"/>
        <v>389.928</v>
      </c>
      <c r="I41" s="882">
        <f t="shared" si="24"/>
        <v>430.99799999999999</v>
      </c>
      <c r="J41" s="882">
        <f t="shared" si="24"/>
        <v>532.78899999999999</v>
      </c>
      <c r="K41" s="883">
        <f t="shared" si="24"/>
        <v>602.06799999999998</v>
      </c>
      <c r="L41" s="1029">
        <f>+I63</f>
        <v>638.88799746589234</v>
      </c>
      <c r="M41" s="883">
        <f t="shared" ref="M41:U41" si="25">+J63</f>
        <v>710.04798731298945</v>
      </c>
      <c r="N41" s="883">
        <f t="shared" si="25"/>
        <v>781.9120265988139</v>
      </c>
      <c r="O41" s="883">
        <f t="shared" si="25"/>
        <v>861.21694600155604</v>
      </c>
      <c r="P41" s="883">
        <f t="shared" si="25"/>
        <v>948.74836876105087</v>
      </c>
      <c r="Q41" s="883">
        <f t="shared" si="25"/>
        <v>1051.6176106761598</v>
      </c>
      <c r="R41" s="883">
        <f t="shared" si="25"/>
        <v>1147.7339753378358</v>
      </c>
      <c r="S41" s="883">
        <f t="shared" si="25"/>
        <v>1244.864718220751</v>
      </c>
      <c r="T41" s="883">
        <f t="shared" si="25"/>
        <v>1341.5055406084816</v>
      </c>
      <c r="U41" s="883">
        <f t="shared" si="25"/>
        <v>1445.651489492966</v>
      </c>
    </row>
    <row r="42" spans="2:21" s="730" customFormat="1" ht="15.75" outlineLevel="1" x14ac:dyDescent="0.25">
      <c r="C42" s="880" t="s">
        <v>307</v>
      </c>
      <c r="D42" s="1030">
        <f>IF(D39/D38&gt;0,D39/D38,"")</f>
        <v>8.0461507263334675E-3</v>
      </c>
      <c r="E42" s="1031">
        <f t="shared" ref="E42:K42" si="26">IF(E39/E38&gt;0,E39/E38,"")</f>
        <v>7.3544860772205862E-3</v>
      </c>
      <c r="F42" s="1031">
        <f t="shared" si="26"/>
        <v>8.72496186793764E-3</v>
      </c>
      <c r="G42" s="1031">
        <f t="shared" si="26"/>
        <v>7.6858081180348212E-3</v>
      </c>
      <c r="H42" s="1031">
        <f t="shared" si="26"/>
        <v>6.9147448280317417E-3</v>
      </c>
      <c r="I42" s="1031">
        <f t="shared" si="26"/>
        <v>7.4976722677316072E-3</v>
      </c>
      <c r="J42" s="1031">
        <f t="shared" si="26"/>
        <v>8.1552445962065154E-3</v>
      </c>
      <c r="K42" s="1032">
        <f t="shared" si="26"/>
        <v>8.8360946202553983E-3</v>
      </c>
      <c r="L42" s="1032">
        <f t="shared" ref="L42:U42" si="27">IF(L39/L38&gt;0,L39/L38,"")</f>
        <v>8.8360946202553983E-3</v>
      </c>
      <c r="M42" s="1032">
        <f t="shared" si="27"/>
        <v>8.8360946202553983E-3</v>
      </c>
      <c r="N42" s="1032">
        <f t="shared" si="27"/>
        <v>8.8360946202553983E-3</v>
      </c>
      <c r="O42" s="1032">
        <f t="shared" si="27"/>
        <v>8.8360946202553983E-3</v>
      </c>
      <c r="P42" s="1032">
        <f t="shared" si="27"/>
        <v>8.8360946202553983E-3</v>
      </c>
      <c r="Q42" s="1032">
        <f t="shared" si="27"/>
        <v>8.6492547737481128E-3</v>
      </c>
      <c r="R42" s="1032">
        <f t="shared" si="27"/>
        <v>8.4624149272408272E-3</v>
      </c>
      <c r="S42" s="1032">
        <f t="shared" si="27"/>
        <v>8.2755750807335417E-3</v>
      </c>
      <c r="T42" s="1032">
        <f t="shared" si="27"/>
        <v>8.0887352342262561E-3</v>
      </c>
      <c r="U42" s="1032">
        <f t="shared" si="27"/>
        <v>7.9018953877189706E-3</v>
      </c>
    </row>
    <row r="43" spans="2:21" s="730" customFormat="1" ht="15.75" outlineLevel="1" x14ac:dyDescent="0.25">
      <c r="C43" s="880" t="s">
        <v>308</v>
      </c>
      <c r="D43" s="1030">
        <f>IF(D40/D38&gt;0,D40/D38,"")</f>
        <v>0.15947427348204674</v>
      </c>
      <c r="E43" s="1031">
        <f t="shared" ref="E43:K43" si="28">IF(E40/E38&gt;0,E40/E38,"")</f>
        <v>0.16774008081135999</v>
      </c>
      <c r="F43" s="1031">
        <f t="shared" si="28"/>
        <v>0.16744790540365204</v>
      </c>
      <c r="G43" s="1031">
        <f t="shared" si="28"/>
        <v>0.17473180503716915</v>
      </c>
      <c r="H43" s="1031">
        <f t="shared" si="28"/>
        <v>0.17248498393603931</v>
      </c>
      <c r="I43" s="1031">
        <f t="shared" si="28"/>
        <v>0.18139173024058744</v>
      </c>
      <c r="J43" s="1031">
        <f t="shared" si="28"/>
        <v>0.18828837993315184</v>
      </c>
      <c r="K43" s="1032">
        <f t="shared" si="28"/>
        <v>0.19214985069991036</v>
      </c>
      <c r="L43" s="1032">
        <f t="shared" ref="L43:U43" si="29">IF(L40/L38&gt;0,L40/L38,"")</f>
        <v>0.18357873620242227</v>
      </c>
      <c r="M43" s="1032">
        <f t="shared" si="29"/>
        <v>0.18357873620242227</v>
      </c>
      <c r="N43" s="1032">
        <f t="shared" si="29"/>
        <v>0.18357873620242227</v>
      </c>
      <c r="O43" s="1032">
        <f t="shared" si="29"/>
        <v>0.18357873620242227</v>
      </c>
      <c r="P43" s="1032">
        <f t="shared" si="29"/>
        <v>0.18357873620242224</v>
      </c>
      <c r="Q43" s="1032">
        <f t="shared" si="29"/>
        <v>0.18195571420053575</v>
      </c>
      <c r="R43" s="1032">
        <f t="shared" si="29"/>
        <v>0.18033269219864922</v>
      </c>
      <c r="S43" s="1032">
        <f t="shared" si="29"/>
        <v>0.1787096701967627</v>
      </c>
      <c r="T43" s="1032">
        <f t="shared" si="29"/>
        <v>0.17708664819487618</v>
      </c>
      <c r="U43" s="1032">
        <f t="shared" si="29"/>
        <v>0.17546362619298961</v>
      </c>
    </row>
    <row r="44" spans="2:21" s="730" customFormat="1" ht="15.75" outlineLevel="1" x14ac:dyDescent="0.25">
      <c r="C44" s="880" t="s">
        <v>309</v>
      </c>
      <c r="D44" s="1030">
        <f>IF(D41/D38&gt;0,D41/D38,"")</f>
        <v>4.3629893301461817E-2</v>
      </c>
      <c r="E44" s="1031">
        <f t="shared" ref="E44:K44" si="30">IF(E41/E38&gt;0,E41/E38,"")</f>
        <v>4.9394749157867353E-2</v>
      </c>
      <c r="F44" s="1031">
        <f t="shared" si="30"/>
        <v>4.0418976936229353E-2</v>
      </c>
      <c r="G44" s="1031">
        <f t="shared" si="30"/>
        <v>4.0602381892939153E-2</v>
      </c>
      <c r="H44" s="1031">
        <f t="shared" si="30"/>
        <v>3.6935979359773705E-2</v>
      </c>
      <c r="I44" s="1031">
        <f t="shared" si="30"/>
        <v>3.8836657397187585E-2</v>
      </c>
      <c r="J44" s="1031">
        <f t="shared" si="30"/>
        <v>4.2575323239118834E-2</v>
      </c>
      <c r="K44" s="1032">
        <f t="shared" si="30"/>
        <v>4.2500617671765689E-2</v>
      </c>
      <c r="L44" s="1032">
        <f t="shared" ref="L44:U44" si="31">IF(L41/L38&gt;0,L41/L38,"")</f>
        <v>4.0212144416961464E-2</v>
      </c>
      <c r="M44" s="1032">
        <f t="shared" si="31"/>
        <v>4.0212144416961457E-2</v>
      </c>
      <c r="N44" s="1032">
        <f t="shared" si="31"/>
        <v>4.0212144416961457E-2</v>
      </c>
      <c r="O44" s="1032">
        <f t="shared" si="31"/>
        <v>4.0212144416961457E-2</v>
      </c>
      <c r="P44" s="1032">
        <f t="shared" si="31"/>
        <v>4.0212144416961457E-2</v>
      </c>
      <c r="Q44" s="1032">
        <f t="shared" si="31"/>
        <v>4.0542080007477756E-2</v>
      </c>
      <c r="R44" s="1032">
        <f t="shared" si="31"/>
        <v>4.0872015597994055E-2</v>
      </c>
      <c r="S44" s="1032">
        <f t="shared" si="31"/>
        <v>4.1201951188510354E-2</v>
      </c>
      <c r="T44" s="1032">
        <f t="shared" si="31"/>
        <v>4.1531886779026653E-2</v>
      </c>
      <c r="U44" s="1032">
        <f t="shared" si="31"/>
        <v>4.1861822369542945E-2</v>
      </c>
    </row>
    <row r="45" spans="2:21" s="730" customFormat="1" ht="15.75" outlineLevel="1" x14ac:dyDescent="0.25">
      <c r="C45" s="122"/>
      <c r="D45" s="122"/>
      <c r="E45" s="122"/>
      <c r="F45" s="122"/>
      <c r="G45" s="122"/>
      <c r="H45" s="122"/>
      <c r="I45" s="122"/>
      <c r="J45" s="122"/>
      <c r="K45" s="122"/>
      <c r="L45" s="122"/>
      <c r="M45" s="122"/>
      <c r="N45" s="122"/>
      <c r="O45" s="122"/>
      <c r="P45" s="122"/>
      <c r="Q45" s="122"/>
      <c r="R45" s="122"/>
      <c r="S45" s="122"/>
      <c r="T45" s="122"/>
      <c r="U45" s="122"/>
    </row>
    <row r="46" spans="2:21" s="730" customFormat="1" ht="15.75" outlineLevel="1" x14ac:dyDescent="0.25">
      <c r="C46" s="1033" t="s">
        <v>315</v>
      </c>
      <c r="D46" s="1034"/>
      <c r="E46" s="890"/>
      <c r="F46" s="890"/>
      <c r="G46" s="890"/>
      <c r="H46" s="890"/>
      <c r="I46" s="890"/>
      <c r="J46" s="890"/>
      <c r="K46" s="890"/>
      <c r="L46" s="890"/>
      <c r="M46" s="890"/>
      <c r="N46" s="890"/>
      <c r="O46" s="890"/>
      <c r="P46" s="890"/>
      <c r="Q46" s="890"/>
      <c r="R46" s="890"/>
      <c r="S46" s="122"/>
      <c r="T46" s="122"/>
      <c r="U46" s="122"/>
    </row>
    <row r="47" spans="2:21" s="730" customFormat="1" ht="15.6" customHeight="1" outlineLevel="1" thickBot="1" x14ac:dyDescent="0.3">
      <c r="C47" s="888" t="s">
        <v>310</v>
      </c>
      <c r="D47" s="1035">
        <f>MIN(D42:K42)</f>
        <v>6.9147448280317417E-3</v>
      </c>
      <c r="E47" s="890"/>
      <c r="F47" s="890"/>
      <c r="G47" s="890"/>
      <c r="H47" s="890"/>
      <c r="I47" s="891">
        <f>K37+1</f>
        <v>2016</v>
      </c>
      <c r="J47" s="891">
        <f t="shared" ref="J47:R47" si="32">I47+1</f>
        <v>2017</v>
      </c>
      <c r="K47" s="891">
        <f t="shared" si="32"/>
        <v>2018</v>
      </c>
      <c r="L47" s="891">
        <f t="shared" si="32"/>
        <v>2019</v>
      </c>
      <c r="M47" s="891">
        <f t="shared" si="32"/>
        <v>2020</v>
      </c>
      <c r="N47" s="891">
        <f t="shared" si="32"/>
        <v>2021</v>
      </c>
      <c r="O47" s="891">
        <f t="shared" si="32"/>
        <v>2022</v>
      </c>
      <c r="P47" s="891">
        <f t="shared" si="32"/>
        <v>2023</v>
      </c>
      <c r="Q47" s="891">
        <f t="shared" si="32"/>
        <v>2024</v>
      </c>
      <c r="R47" s="891">
        <f t="shared" si="32"/>
        <v>2025</v>
      </c>
      <c r="S47" s="892" t="s">
        <v>267</v>
      </c>
      <c r="T47" s="122"/>
      <c r="U47" s="122"/>
    </row>
    <row r="48" spans="2:21" s="730" customFormat="1" ht="16.899999999999999" customHeight="1" outlineLevel="1" x14ac:dyDescent="0.25">
      <c r="C48" s="888" t="s">
        <v>311</v>
      </c>
      <c r="D48" s="1035">
        <f>MAX(D42:K42)</f>
        <v>8.8360946202553983E-3</v>
      </c>
      <c r="E48" s="890"/>
      <c r="F48" s="890"/>
      <c r="G48" s="2101" t="s">
        <v>1153</v>
      </c>
      <c r="H48" s="893" t="s">
        <v>317</v>
      </c>
      <c r="I48" s="894">
        <f>K42</f>
        <v>8.8360946202553983E-3</v>
      </c>
      <c r="J48" s="895">
        <f>I48</f>
        <v>8.8360946202553983E-3</v>
      </c>
      <c r="K48" s="895">
        <f>J48</f>
        <v>8.8360946202553983E-3</v>
      </c>
      <c r="L48" s="895">
        <f>K48</f>
        <v>8.8360946202553983E-3</v>
      </c>
      <c r="M48" s="895">
        <f>L48</f>
        <v>8.8360946202553983E-3</v>
      </c>
      <c r="N48" s="895">
        <f>M48-($M$48-$R$48)/5</f>
        <v>8.6492547737481128E-3</v>
      </c>
      <c r="O48" s="895">
        <f>N48-($M$48-$R$48)/5</f>
        <v>8.4624149272408272E-3</v>
      </c>
      <c r="P48" s="895">
        <f>O48-($M$48-$R$48)/5</f>
        <v>8.2755750807335417E-3</v>
      </c>
      <c r="Q48" s="895">
        <f>P48-($M$48-$R$48)/5</f>
        <v>8.0887352342262561E-3</v>
      </c>
      <c r="R48" s="895">
        <f>D49</f>
        <v>7.9018953877189706E-3</v>
      </c>
      <c r="S48" s="896"/>
      <c r="T48" s="2103" t="s">
        <v>285</v>
      </c>
      <c r="U48" s="2104"/>
    </row>
    <row r="49" spans="3:21" s="730" customFormat="1" ht="16.5" outlineLevel="1" thickBot="1" x14ac:dyDescent="0.3">
      <c r="C49" s="888" t="s">
        <v>312</v>
      </c>
      <c r="D49" s="1035">
        <f>AVERAGE(D42:K42)</f>
        <v>7.9018953877189706E-3</v>
      </c>
      <c r="E49" s="890"/>
      <c r="F49" s="890"/>
      <c r="G49" s="2102"/>
      <c r="H49" s="897" t="s">
        <v>315</v>
      </c>
      <c r="I49" s="898">
        <f t="shared" ref="I49:R49" si="33">I48*L38</f>
        <v>140.38731033137697</v>
      </c>
      <c r="J49" s="899">
        <f t="shared" si="33"/>
        <v>156.0237906181668</v>
      </c>
      <c r="K49" s="899">
        <f t="shared" si="33"/>
        <v>171.81497659270673</v>
      </c>
      <c r="L49" s="899">
        <f t="shared" si="33"/>
        <v>189.2411989903062</v>
      </c>
      <c r="M49" s="899">
        <f t="shared" si="33"/>
        <v>208.47508827829549</v>
      </c>
      <c r="N49" s="899">
        <f t="shared" si="33"/>
        <v>224.35229365687965</v>
      </c>
      <c r="O49" s="899">
        <f t="shared" si="33"/>
        <v>237.6345032975824</v>
      </c>
      <c r="P49" s="899">
        <f t="shared" si="33"/>
        <v>250.0360090680573</v>
      </c>
      <c r="Q49" s="899">
        <f t="shared" si="33"/>
        <v>261.27113345376108</v>
      </c>
      <c r="R49" s="899">
        <f t="shared" si="33"/>
        <v>272.88317112025072</v>
      </c>
      <c r="S49" s="900"/>
      <c r="T49" s="122"/>
      <c r="U49" s="122"/>
    </row>
    <row r="50" spans="3:21" s="730" customFormat="1" ht="15.75" outlineLevel="1" x14ac:dyDescent="0.25">
      <c r="C50" s="888" t="s">
        <v>313</v>
      </c>
      <c r="D50" s="1035">
        <f>MEDIAN(D42:K42)</f>
        <v>7.8659794221841439E-3</v>
      </c>
      <c r="E50" s="890"/>
      <c r="F50" s="890"/>
      <c r="G50" s="890"/>
      <c r="H50" s="890"/>
      <c r="I50" s="890"/>
      <c r="J50" s="890"/>
      <c r="K50" s="890"/>
      <c r="L50" s="890"/>
      <c r="M50" s="890"/>
      <c r="N50" s="890"/>
      <c r="O50" s="890"/>
      <c r="P50" s="890"/>
      <c r="Q50" s="890"/>
      <c r="R50" s="890"/>
      <c r="S50" s="122"/>
      <c r="T50" s="122"/>
      <c r="U50" s="122"/>
    </row>
    <row r="51" spans="3:21" s="730" customFormat="1" ht="15.75" outlineLevel="1" x14ac:dyDescent="0.25">
      <c r="C51" s="888" t="s">
        <v>314</v>
      </c>
      <c r="D51" s="1035">
        <f>SUMPRODUCT(D42:K42,D36:K36)/SUM(D36:K36)</f>
        <v>7.9724574399656668E-3</v>
      </c>
      <c r="E51" s="949"/>
      <c r="F51" s="942"/>
      <c r="G51" s="942"/>
      <c r="H51" s="942"/>
      <c r="I51" s="942"/>
      <c r="J51" s="942"/>
      <c r="K51" s="942"/>
      <c r="L51" s="942"/>
      <c r="M51" s="942"/>
      <c r="N51" s="942"/>
      <c r="O51" s="1036"/>
    </row>
    <row r="52" spans="3:21" s="730" customFormat="1" ht="15.75" outlineLevel="1" x14ac:dyDescent="0.25">
      <c r="C52" s="725"/>
      <c r="D52" s="1037"/>
      <c r="E52" s="1038"/>
      <c r="F52" s="1039"/>
      <c r="G52" s="1039"/>
      <c r="H52" s="1039"/>
      <c r="I52" s="1039"/>
      <c r="J52" s="1039"/>
      <c r="K52" s="1039"/>
      <c r="L52" s="1039"/>
      <c r="M52" s="1039"/>
      <c r="N52" s="1039"/>
      <c r="O52" s="1036"/>
    </row>
    <row r="53" spans="3:21" s="730" customFormat="1" ht="15.75" outlineLevel="1" x14ac:dyDescent="0.25">
      <c r="C53" s="1033" t="s">
        <v>316</v>
      </c>
      <c r="D53" s="1034"/>
      <c r="E53" s="890"/>
      <c r="F53" s="890"/>
      <c r="G53" s="890"/>
      <c r="H53" s="890"/>
      <c r="I53" s="890"/>
      <c r="J53" s="890"/>
      <c r="K53" s="890"/>
      <c r="L53" s="890"/>
      <c r="M53" s="890"/>
      <c r="N53" s="890"/>
      <c r="O53" s="890"/>
      <c r="P53" s="890"/>
      <c r="Q53" s="890"/>
      <c r="R53" s="890"/>
      <c r="S53" s="122"/>
      <c r="T53" s="122"/>
      <c r="U53" s="122"/>
    </row>
    <row r="54" spans="3:21" s="730" customFormat="1" ht="16.5" outlineLevel="1" thickBot="1" x14ac:dyDescent="0.3">
      <c r="C54" s="888" t="s">
        <v>319</v>
      </c>
      <c r="D54" s="1035">
        <f>MIN(D43:K43)</f>
        <v>0.15947427348204674</v>
      </c>
      <c r="E54" s="890"/>
      <c r="F54" s="890"/>
      <c r="G54" s="890"/>
      <c r="H54" s="890"/>
      <c r="I54" s="891">
        <f>I47</f>
        <v>2016</v>
      </c>
      <c r="J54" s="891">
        <f t="shared" ref="J54:R54" si="34">I54+1</f>
        <v>2017</v>
      </c>
      <c r="K54" s="891">
        <f t="shared" si="34"/>
        <v>2018</v>
      </c>
      <c r="L54" s="891">
        <f t="shared" si="34"/>
        <v>2019</v>
      </c>
      <c r="M54" s="891">
        <f t="shared" si="34"/>
        <v>2020</v>
      </c>
      <c r="N54" s="891">
        <f t="shared" si="34"/>
        <v>2021</v>
      </c>
      <c r="O54" s="891">
        <f t="shared" si="34"/>
        <v>2022</v>
      </c>
      <c r="P54" s="891">
        <f t="shared" si="34"/>
        <v>2023</v>
      </c>
      <c r="Q54" s="891">
        <f t="shared" si="34"/>
        <v>2024</v>
      </c>
      <c r="R54" s="891">
        <f t="shared" si="34"/>
        <v>2025</v>
      </c>
      <c r="S54" s="892" t="s">
        <v>267</v>
      </c>
      <c r="T54" s="122"/>
      <c r="U54" s="122"/>
    </row>
    <row r="55" spans="3:21" s="730" customFormat="1" ht="15.75" outlineLevel="1" x14ac:dyDescent="0.25">
      <c r="C55" s="888" t="s">
        <v>320</v>
      </c>
      <c r="D55" s="1035">
        <f>MAX(D43:K43)</f>
        <v>0.19214985069991036</v>
      </c>
      <c r="E55" s="890"/>
      <c r="F55" s="890"/>
      <c r="G55" s="2101" t="s">
        <v>1153</v>
      </c>
      <c r="H55" s="893" t="s">
        <v>318</v>
      </c>
      <c r="I55" s="894">
        <f>AVERAGE(H43:K43)</f>
        <v>0.18357873620242227</v>
      </c>
      <c r="J55" s="895">
        <f>I55</f>
        <v>0.18357873620242227</v>
      </c>
      <c r="K55" s="895">
        <f>J55</f>
        <v>0.18357873620242227</v>
      </c>
      <c r="L55" s="895">
        <f>K55</f>
        <v>0.18357873620242227</v>
      </c>
      <c r="M55" s="895">
        <f>L55</f>
        <v>0.18357873620242227</v>
      </c>
      <c r="N55" s="895">
        <f>M55-($M$55-$R$55)/5</f>
        <v>0.18195571420053575</v>
      </c>
      <c r="O55" s="895">
        <f>N55-($M$55-$R$55)/5</f>
        <v>0.18033269219864922</v>
      </c>
      <c r="P55" s="895">
        <f>O55-($M$55-$R$55)/5</f>
        <v>0.1787096701967627</v>
      </c>
      <c r="Q55" s="895">
        <f>P55-($M$55-$R$55)/5</f>
        <v>0.17708664819487618</v>
      </c>
      <c r="R55" s="895">
        <f>D56</f>
        <v>0.17546362619298961</v>
      </c>
      <c r="S55" s="896"/>
      <c r="T55" s="2103" t="s">
        <v>285</v>
      </c>
      <c r="U55" s="2104"/>
    </row>
    <row r="56" spans="3:21" s="730" customFormat="1" ht="16.5" outlineLevel="1" thickBot="1" x14ac:dyDescent="0.3">
      <c r="C56" s="888" t="s">
        <v>321</v>
      </c>
      <c r="D56" s="1035">
        <f>AVERAGE(D43:K43)</f>
        <v>0.17546362619298961</v>
      </c>
      <c r="E56" s="890"/>
      <c r="F56" s="890"/>
      <c r="G56" s="2102"/>
      <c r="H56" s="897" t="s">
        <v>316</v>
      </c>
      <c r="I56" s="898">
        <f>I55*L38</f>
        <v>2916.6873055447795</v>
      </c>
      <c r="J56" s="899">
        <f t="shared" ref="J56:R56" si="35">J55*M38</f>
        <v>3241.550880808305</v>
      </c>
      <c r="K56" s="899">
        <f t="shared" si="35"/>
        <v>3569.6286220423235</v>
      </c>
      <c r="L56" s="899">
        <f t="shared" si="35"/>
        <v>3931.6758863620425</v>
      </c>
      <c r="M56" s="899">
        <f t="shared" si="35"/>
        <v>4331.2792450282404</v>
      </c>
      <c r="N56" s="899">
        <f t="shared" si="35"/>
        <v>4719.7339993692622</v>
      </c>
      <c r="O56" s="899">
        <f t="shared" si="35"/>
        <v>5063.9527968541879</v>
      </c>
      <c r="P56" s="899">
        <f t="shared" si="35"/>
        <v>5399.4861120765199</v>
      </c>
      <c r="Q56" s="899">
        <f t="shared" si="35"/>
        <v>5720.0078817796229</v>
      </c>
      <c r="R56" s="899">
        <f t="shared" si="35"/>
        <v>6059.4412330764926</v>
      </c>
      <c r="S56" s="900"/>
      <c r="T56" s="122"/>
      <c r="U56" s="122"/>
    </row>
    <row r="57" spans="3:21" s="730" customFormat="1" ht="15.75" outlineLevel="1" x14ac:dyDescent="0.25">
      <c r="C57" s="888" t="s">
        <v>322</v>
      </c>
      <c r="D57" s="1035">
        <f>MEDIAN(D43:K43)</f>
        <v>0.17360839448660423</v>
      </c>
      <c r="E57" s="890"/>
      <c r="F57" s="890"/>
      <c r="G57" s="890"/>
      <c r="H57" s="890"/>
      <c r="I57" s="890"/>
      <c r="J57" s="890"/>
      <c r="K57" s="890"/>
      <c r="L57" s="890"/>
      <c r="M57" s="890"/>
      <c r="N57" s="890"/>
      <c r="O57" s="890"/>
      <c r="P57" s="890"/>
      <c r="Q57" s="890"/>
      <c r="R57" s="890"/>
      <c r="S57" s="122"/>
      <c r="T57" s="122"/>
      <c r="U57" s="122"/>
    </row>
    <row r="58" spans="3:21" s="730" customFormat="1" ht="15" customHeight="1" outlineLevel="1" x14ac:dyDescent="0.25">
      <c r="C58" s="888" t="s">
        <v>323</v>
      </c>
      <c r="D58" s="1035">
        <f>SUMPRODUCT(D36:K36,D43:K43)/SUM(D36:K36)</f>
        <v>0.18061717049220741</v>
      </c>
      <c r="E58" s="949"/>
      <c r="F58" s="942"/>
      <c r="G58" s="942"/>
      <c r="H58" s="942"/>
      <c r="I58" s="942"/>
      <c r="J58" s="942"/>
      <c r="K58" s="942"/>
      <c r="L58" s="942"/>
      <c r="M58" s="942"/>
      <c r="N58" s="942"/>
      <c r="O58" s="1036"/>
    </row>
    <row r="59" spans="3:21" s="730" customFormat="1" ht="15.75" outlineLevel="1" x14ac:dyDescent="0.25">
      <c r="C59" s="502"/>
      <c r="D59" s="503"/>
      <c r="E59" s="504"/>
      <c r="F59" s="504"/>
      <c r="G59" s="504"/>
      <c r="H59" s="504"/>
      <c r="I59" s="504"/>
      <c r="J59" s="504"/>
      <c r="K59" s="504"/>
      <c r="L59" s="504"/>
      <c r="M59" s="504"/>
      <c r="N59" s="504"/>
    </row>
    <row r="60" spans="3:21" s="730" customFormat="1" ht="15.75" outlineLevel="1" x14ac:dyDescent="0.25">
      <c r="C60" s="1033" t="s">
        <v>324</v>
      </c>
      <c r="D60" s="1034"/>
      <c r="E60" s="890"/>
      <c r="F60" s="890"/>
      <c r="G60" s="890"/>
      <c r="H60" s="890"/>
      <c r="I60" s="890"/>
      <c r="J60" s="890"/>
      <c r="K60" s="890"/>
      <c r="L60" s="890"/>
      <c r="M60" s="890"/>
      <c r="N60" s="890"/>
      <c r="O60" s="890"/>
      <c r="P60" s="890"/>
      <c r="Q60" s="890"/>
      <c r="R60" s="890"/>
      <c r="S60" s="122"/>
      <c r="T60" s="122"/>
      <c r="U60" s="122"/>
    </row>
    <row r="61" spans="3:21" s="730" customFormat="1" ht="16.5" outlineLevel="1" thickBot="1" x14ac:dyDescent="0.3">
      <c r="C61" s="888" t="s">
        <v>325</v>
      </c>
      <c r="D61" s="1035">
        <f>MIN(D44:K44)</f>
        <v>3.6935979359773705E-2</v>
      </c>
      <c r="E61" s="890"/>
      <c r="F61" s="890"/>
      <c r="G61" s="890"/>
      <c r="H61" s="890"/>
      <c r="I61" s="891">
        <f>I54</f>
        <v>2016</v>
      </c>
      <c r="J61" s="891">
        <f t="shared" ref="J61:R61" si="36">I61+1</f>
        <v>2017</v>
      </c>
      <c r="K61" s="891">
        <f t="shared" si="36"/>
        <v>2018</v>
      </c>
      <c r="L61" s="891">
        <f t="shared" si="36"/>
        <v>2019</v>
      </c>
      <c r="M61" s="891">
        <f t="shared" si="36"/>
        <v>2020</v>
      </c>
      <c r="N61" s="891">
        <f t="shared" si="36"/>
        <v>2021</v>
      </c>
      <c r="O61" s="891">
        <f t="shared" si="36"/>
        <v>2022</v>
      </c>
      <c r="P61" s="891">
        <f t="shared" si="36"/>
        <v>2023</v>
      </c>
      <c r="Q61" s="891">
        <f t="shared" si="36"/>
        <v>2024</v>
      </c>
      <c r="R61" s="891">
        <f t="shared" si="36"/>
        <v>2025</v>
      </c>
      <c r="S61" s="892" t="s">
        <v>267</v>
      </c>
      <c r="T61" s="122"/>
      <c r="U61" s="122"/>
    </row>
    <row r="62" spans="3:21" s="730" customFormat="1" ht="15.75" outlineLevel="1" x14ac:dyDescent="0.25">
      <c r="C62" s="888" t="s">
        <v>326</v>
      </c>
      <c r="D62" s="1035">
        <f>MAX(D44:K44)</f>
        <v>4.9394749157867353E-2</v>
      </c>
      <c r="E62" s="890"/>
      <c r="F62" s="890"/>
      <c r="G62" s="2101" t="s">
        <v>1153</v>
      </c>
      <c r="H62" s="893" t="s">
        <v>330</v>
      </c>
      <c r="I62" s="894">
        <f>AVERAGE(H44:K44)</f>
        <v>4.0212144416961457E-2</v>
      </c>
      <c r="J62" s="895">
        <f>I62</f>
        <v>4.0212144416961457E-2</v>
      </c>
      <c r="K62" s="895">
        <f>J62</f>
        <v>4.0212144416961457E-2</v>
      </c>
      <c r="L62" s="895">
        <f>K62</f>
        <v>4.0212144416961457E-2</v>
      </c>
      <c r="M62" s="895">
        <f>L62</f>
        <v>4.0212144416961457E-2</v>
      </c>
      <c r="N62" s="895">
        <f>M62-($M$62-$R$62)/5</f>
        <v>4.0542080007477756E-2</v>
      </c>
      <c r="O62" s="895">
        <f>N62-($M$62-$R$62)/5</f>
        <v>4.0872015597994055E-2</v>
      </c>
      <c r="P62" s="895">
        <f>O62-($M$62-$R$62)/5</f>
        <v>4.1201951188510354E-2</v>
      </c>
      <c r="Q62" s="895">
        <f>P62-($M$62-$R$62)/5</f>
        <v>4.1531886779026653E-2</v>
      </c>
      <c r="R62" s="895">
        <f>D63</f>
        <v>4.1861822369542945E-2</v>
      </c>
      <c r="S62" s="896"/>
      <c r="T62" s="2103" t="s">
        <v>285</v>
      </c>
      <c r="U62" s="2104"/>
    </row>
    <row r="63" spans="3:21" s="730" customFormat="1" ht="16.5" outlineLevel="1" thickBot="1" x14ac:dyDescent="0.3">
      <c r="C63" s="888" t="s">
        <v>327</v>
      </c>
      <c r="D63" s="1035">
        <f>AVERAGE(D44:K44)</f>
        <v>4.1861822369542945E-2</v>
      </c>
      <c r="E63" s="890"/>
      <c r="F63" s="890"/>
      <c r="G63" s="2102"/>
      <c r="H63" s="897" t="s">
        <v>324</v>
      </c>
      <c r="I63" s="898">
        <f>I62*L38</f>
        <v>638.88799746589234</v>
      </c>
      <c r="J63" s="899">
        <f t="shared" ref="J63:R63" si="37">J62*M38</f>
        <v>710.04798731298945</v>
      </c>
      <c r="K63" s="899">
        <f t="shared" si="37"/>
        <v>781.9120265988139</v>
      </c>
      <c r="L63" s="899">
        <f t="shared" si="37"/>
        <v>861.21694600155604</v>
      </c>
      <c r="M63" s="899">
        <f t="shared" si="37"/>
        <v>948.74836876105087</v>
      </c>
      <c r="N63" s="899">
        <f t="shared" si="37"/>
        <v>1051.6176106761598</v>
      </c>
      <c r="O63" s="899">
        <f t="shared" si="37"/>
        <v>1147.7339753378358</v>
      </c>
      <c r="P63" s="899">
        <f t="shared" si="37"/>
        <v>1244.864718220751</v>
      </c>
      <c r="Q63" s="899">
        <f t="shared" si="37"/>
        <v>1341.5055406084816</v>
      </c>
      <c r="R63" s="899">
        <f t="shared" si="37"/>
        <v>1445.651489492966</v>
      </c>
      <c r="S63" s="900"/>
      <c r="T63" s="122"/>
      <c r="U63" s="122"/>
    </row>
    <row r="64" spans="3:21" s="730" customFormat="1" ht="15.75" outlineLevel="1" x14ac:dyDescent="0.25">
      <c r="C64" s="888" t="s">
        <v>328</v>
      </c>
      <c r="D64" s="1035">
        <f>MEDIAN(D44:K44)</f>
        <v>4.1551499782352425E-2</v>
      </c>
      <c r="E64" s="890"/>
      <c r="F64" s="890"/>
      <c r="G64" s="890"/>
      <c r="H64" s="890"/>
      <c r="I64" s="890"/>
      <c r="J64" s="890"/>
      <c r="K64" s="890"/>
      <c r="L64" s="890"/>
      <c r="M64" s="890"/>
      <c r="N64" s="890"/>
      <c r="O64" s="890"/>
      <c r="P64" s="890"/>
      <c r="Q64" s="890"/>
      <c r="R64" s="890"/>
      <c r="S64" s="122"/>
      <c r="T64" s="122"/>
      <c r="U64" s="122"/>
    </row>
    <row r="65" spans="2:21" s="730" customFormat="1" ht="16.5" outlineLevel="1" thickBot="1" x14ac:dyDescent="0.3">
      <c r="C65" s="888" t="s">
        <v>329</v>
      </c>
      <c r="D65" s="1035">
        <f>SUMPRODUCT(D36:K36,D44:K44)/SUM(D36:K36)</f>
        <v>4.1161608200766461E-2</v>
      </c>
      <c r="E65" s="949"/>
      <c r="F65" s="942"/>
      <c r="G65" s="942"/>
      <c r="H65" s="1040" t="s">
        <v>306</v>
      </c>
      <c r="I65" s="898">
        <f>I63+I56+I49</f>
        <v>3695.9626133420488</v>
      </c>
      <c r="J65" s="899">
        <f t="shared" ref="J65:R65" si="38">J63+J56+J49</f>
        <v>4107.6226587394613</v>
      </c>
      <c r="K65" s="899">
        <f t="shared" si="38"/>
        <v>4523.355625233844</v>
      </c>
      <c r="L65" s="899">
        <f t="shared" si="38"/>
        <v>4982.134031353904</v>
      </c>
      <c r="M65" s="899">
        <f t="shared" si="38"/>
        <v>5488.5027020675871</v>
      </c>
      <c r="N65" s="899">
        <f t="shared" si="38"/>
        <v>5995.7039037023014</v>
      </c>
      <c r="O65" s="899">
        <f t="shared" si="38"/>
        <v>6449.3212754896058</v>
      </c>
      <c r="P65" s="899">
        <f t="shared" si="38"/>
        <v>6894.3868393653283</v>
      </c>
      <c r="Q65" s="899">
        <f t="shared" si="38"/>
        <v>7322.7845558418658</v>
      </c>
      <c r="R65" s="899">
        <f t="shared" si="38"/>
        <v>7777.9758936897097</v>
      </c>
      <c r="S65" s="900"/>
    </row>
    <row r="66" spans="2:21" s="99" customFormat="1" ht="15.75" thickBot="1" x14ac:dyDescent="0.3">
      <c r="C66" s="241"/>
      <c r="D66" s="501"/>
      <c r="E66" s="505"/>
      <c r="F66" s="505"/>
      <c r="G66" s="505"/>
      <c r="H66" s="505"/>
      <c r="I66" s="505"/>
      <c r="J66" s="505"/>
      <c r="K66" s="505"/>
      <c r="L66" s="505"/>
      <c r="M66" s="505"/>
      <c r="N66" s="505"/>
    </row>
    <row r="67" spans="2:21" s="319" customFormat="1" ht="19.5" thickBot="1" x14ac:dyDescent="0.35">
      <c r="B67" s="1280" t="s">
        <v>282</v>
      </c>
      <c r="C67" s="1281" t="s">
        <v>1155</v>
      </c>
      <c r="D67" s="1282"/>
      <c r="E67" s="1282"/>
      <c r="F67" s="1282"/>
      <c r="G67" s="1283"/>
      <c r="H67" s="1284"/>
      <c r="I67" s="1285"/>
      <c r="J67" s="1285"/>
      <c r="K67" s="1285"/>
      <c r="L67" s="1286"/>
      <c r="M67" s="1286"/>
      <c r="N67" s="1286"/>
      <c r="O67" s="1286"/>
      <c r="P67" s="1286"/>
      <c r="Q67" s="1286"/>
      <c r="R67" s="1286"/>
      <c r="S67" s="1286"/>
      <c r="T67" s="1286"/>
      <c r="U67" s="1287"/>
    </row>
    <row r="68" spans="2:21" s="730" customFormat="1" ht="15.75" outlineLevel="1" x14ac:dyDescent="0.25">
      <c r="C68" s="725" t="s">
        <v>252</v>
      </c>
      <c r="D68" s="872">
        <v>1</v>
      </c>
      <c r="E68" s="872">
        <f t="shared" ref="E68" si="39">D68+1</f>
        <v>2</v>
      </c>
      <c r="F68" s="872">
        <f t="shared" ref="F68" si="40">E68+1</f>
        <v>3</v>
      </c>
      <c r="G68" s="872">
        <f t="shared" ref="G68" si="41">F68+1</f>
        <v>4</v>
      </c>
      <c r="H68" s="872">
        <f t="shared" ref="H68" si="42">G68+1</f>
        <v>5</v>
      </c>
      <c r="I68" s="872">
        <f t="shared" ref="I68" si="43">H68+1</f>
        <v>6</v>
      </c>
      <c r="J68" s="872">
        <f t="shared" ref="J68" si="44">I68+1</f>
        <v>7</v>
      </c>
      <c r="K68" s="872">
        <f t="shared" ref="K68" si="45">J68+1</f>
        <v>8</v>
      </c>
      <c r="L68" s="122"/>
      <c r="M68" s="122"/>
      <c r="N68" s="122"/>
      <c r="O68" s="122"/>
      <c r="P68" s="122"/>
      <c r="Q68" s="122"/>
      <c r="R68" s="122"/>
      <c r="S68" s="122"/>
      <c r="T68" s="122"/>
      <c r="U68" s="122"/>
    </row>
    <row r="69" spans="2:21" s="730" customFormat="1" ht="16.5" outlineLevel="1" thickBot="1" x14ac:dyDescent="0.3">
      <c r="C69" s="873"/>
      <c r="D69" s="511" t="str">
        <f>+D37</f>
        <v>2008</v>
      </c>
      <c r="E69" s="512" t="str">
        <f t="shared" ref="E69:U69" si="46">+E37</f>
        <v>2009</v>
      </c>
      <c r="F69" s="512" t="str">
        <f t="shared" si="46"/>
        <v>2010</v>
      </c>
      <c r="G69" s="512" t="str">
        <f t="shared" si="46"/>
        <v>2011</v>
      </c>
      <c r="H69" s="512" t="str">
        <f t="shared" si="46"/>
        <v>2012</v>
      </c>
      <c r="I69" s="512" t="str">
        <f t="shared" si="46"/>
        <v>2013</v>
      </c>
      <c r="J69" s="512" t="str">
        <f t="shared" si="46"/>
        <v>2014</v>
      </c>
      <c r="K69" s="513" t="str">
        <f t="shared" si="46"/>
        <v>2015</v>
      </c>
      <c r="L69" s="512">
        <f t="shared" si="46"/>
        <v>2016</v>
      </c>
      <c r="M69" s="512">
        <f t="shared" si="46"/>
        <v>2017</v>
      </c>
      <c r="N69" s="512">
        <f t="shared" si="46"/>
        <v>2018</v>
      </c>
      <c r="O69" s="512">
        <f t="shared" si="46"/>
        <v>2019</v>
      </c>
      <c r="P69" s="512">
        <f t="shared" si="46"/>
        <v>2020</v>
      </c>
      <c r="Q69" s="512">
        <f t="shared" si="46"/>
        <v>2021</v>
      </c>
      <c r="R69" s="512">
        <f t="shared" si="46"/>
        <v>2022</v>
      </c>
      <c r="S69" s="512">
        <f t="shared" si="46"/>
        <v>2023</v>
      </c>
      <c r="T69" s="512">
        <f t="shared" si="46"/>
        <v>2024</v>
      </c>
      <c r="U69" s="513">
        <f t="shared" si="46"/>
        <v>2025</v>
      </c>
    </row>
    <row r="70" spans="2:21" s="730" customFormat="1" ht="15.75" outlineLevel="1" x14ac:dyDescent="0.25">
      <c r="C70" s="874" t="s">
        <v>238</v>
      </c>
      <c r="D70" s="875">
        <f>+D38</f>
        <v>6775.5379999999996</v>
      </c>
      <c r="E70" s="876">
        <f t="shared" ref="E70:K70" si="47">+E38</f>
        <v>6591.8950000000004</v>
      </c>
      <c r="F70" s="876">
        <f t="shared" si="47"/>
        <v>6936.42</v>
      </c>
      <c r="G70" s="876">
        <f t="shared" si="47"/>
        <v>8437.2389999999996</v>
      </c>
      <c r="H70" s="876">
        <f t="shared" si="47"/>
        <v>10556.861000000001</v>
      </c>
      <c r="I70" s="876">
        <f t="shared" si="47"/>
        <v>11097.710999999999</v>
      </c>
      <c r="J70" s="876">
        <f t="shared" si="47"/>
        <v>12514.032999999999</v>
      </c>
      <c r="K70" s="877">
        <f t="shared" si="47"/>
        <v>14166.1</v>
      </c>
      <c r="L70" s="878">
        <f>+L38</f>
        <v>15887.936510951396</v>
      </c>
      <c r="M70" s="879">
        <f t="shared" ref="M70:U70" si="48">+M38</f>
        <v>17657.550911746246</v>
      </c>
      <c r="N70" s="879">
        <f t="shared" si="48"/>
        <v>19444.673690891348</v>
      </c>
      <c r="O70" s="879">
        <f t="shared" si="48"/>
        <v>21416.837089600605</v>
      </c>
      <c r="P70" s="879">
        <f t="shared" si="48"/>
        <v>23593.578072421064</v>
      </c>
      <c r="Q70" s="879">
        <f t="shared" si="48"/>
        <v>25938.916071454521</v>
      </c>
      <c r="R70" s="879">
        <f t="shared" si="48"/>
        <v>28081.168950086354</v>
      </c>
      <c r="S70" s="879">
        <f t="shared" si="48"/>
        <v>30213.732173147568</v>
      </c>
      <c r="T70" s="879">
        <f t="shared" si="48"/>
        <v>32300.616337178635</v>
      </c>
      <c r="U70" s="879">
        <f t="shared" si="48"/>
        <v>34533.888102892684</v>
      </c>
    </row>
    <row r="71" spans="2:21" s="730" customFormat="1" ht="15.75" outlineLevel="1" x14ac:dyDescent="0.25">
      <c r="C71" s="874" t="s">
        <v>303</v>
      </c>
      <c r="D71" s="875">
        <f t="shared" ref="D71:K71" si="49">+D39</f>
        <v>54.517000000000003</v>
      </c>
      <c r="E71" s="876">
        <f t="shared" si="49"/>
        <v>48.48</v>
      </c>
      <c r="F71" s="876">
        <f t="shared" si="49"/>
        <v>60.52</v>
      </c>
      <c r="G71" s="876">
        <f t="shared" si="49"/>
        <v>64.846999999999994</v>
      </c>
      <c r="H71" s="876">
        <f t="shared" si="49"/>
        <v>72.998000000000005</v>
      </c>
      <c r="I71" s="876">
        <f t="shared" si="49"/>
        <v>83.206999999999994</v>
      </c>
      <c r="J71" s="876">
        <f t="shared" si="49"/>
        <v>102.05500000000001</v>
      </c>
      <c r="K71" s="877">
        <f t="shared" si="49"/>
        <v>125.173</v>
      </c>
      <c r="L71" s="1028">
        <f>+I81</f>
        <v>0</v>
      </c>
      <c r="M71" s="1528"/>
      <c r="N71" s="1528"/>
      <c r="O71" s="1528"/>
      <c r="P71" s="1528"/>
      <c r="Q71" s="1528"/>
      <c r="R71" s="1528"/>
      <c r="S71" s="1528"/>
      <c r="T71" s="1528"/>
      <c r="U71" s="1528"/>
    </row>
    <row r="72" spans="2:21" s="730" customFormat="1" ht="15.75" outlineLevel="1" x14ac:dyDescent="0.25">
      <c r="C72" s="874" t="s">
        <v>304</v>
      </c>
      <c r="D72" s="875">
        <f t="shared" ref="D72:K72" si="50">+D40</f>
        <v>1080.5239999999999</v>
      </c>
      <c r="E72" s="876">
        <f t="shared" si="50"/>
        <v>1105.7249999999999</v>
      </c>
      <c r="F72" s="876">
        <f t="shared" si="50"/>
        <v>1161.489</v>
      </c>
      <c r="G72" s="876">
        <f t="shared" si="50"/>
        <v>1474.2539999999999</v>
      </c>
      <c r="H72" s="876">
        <f t="shared" si="50"/>
        <v>1820.9</v>
      </c>
      <c r="I72" s="876">
        <f t="shared" si="50"/>
        <v>2013.0329999999999</v>
      </c>
      <c r="J72" s="876">
        <f t="shared" si="50"/>
        <v>2356.2469999999998</v>
      </c>
      <c r="K72" s="877">
        <f t="shared" si="50"/>
        <v>2722.0140000000001</v>
      </c>
      <c r="L72" s="1028">
        <f>+I88</f>
        <v>0</v>
      </c>
      <c r="M72" s="1528"/>
      <c r="N72" s="1528"/>
      <c r="O72" s="1528"/>
      <c r="P72" s="1528"/>
      <c r="Q72" s="1528"/>
      <c r="R72" s="1528"/>
      <c r="S72" s="1528"/>
      <c r="T72" s="1528"/>
      <c r="U72" s="1528"/>
    </row>
    <row r="73" spans="2:21" s="730" customFormat="1" ht="15.75" outlineLevel="1" x14ac:dyDescent="0.25">
      <c r="C73" s="880" t="s">
        <v>305</v>
      </c>
      <c r="D73" s="881">
        <f t="shared" ref="D73:K73" si="51">+D41</f>
        <v>295.61599999999999</v>
      </c>
      <c r="E73" s="882">
        <f t="shared" si="51"/>
        <v>325.60500000000002</v>
      </c>
      <c r="F73" s="882">
        <f t="shared" si="51"/>
        <v>280.363</v>
      </c>
      <c r="G73" s="882">
        <f t="shared" si="51"/>
        <v>342.572</v>
      </c>
      <c r="H73" s="882">
        <f t="shared" si="51"/>
        <v>389.928</v>
      </c>
      <c r="I73" s="882">
        <f t="shared" si="51"/>
        <v>430.99799999999999</v>
      </c>
      <c r="J73" s="882">
        <f t="shared" si="51"/>
        <v>532.78899999999999</v>
      </c>
      <c r="K73" s="883">
        <f t="shared" si="51"/>
        <v>602.06799999999998</v>
      </c>
      <c r="L73" s="1029">
        <f>+I95</f>
        <v>0</v>
      </c>
      <c r="M73" s="1529"/>
      <c r="N73" s="1529"/>
      <c r="O73" s="1529"/>
      <c r="P73" s="1529"/>
      <c r="Q73" s="1529"/>
      <c r="R73" s="1529"/>
      <c r="S73" s="1529"/>
      <c r="T73" s="1529"/>
      <c r="U73" s="1529"/>
    </row>
    <row r="74" spans="2:21" s="730" customFormat="1" ht="15.75" outlineLevel="1" x14ac:dyDescent="0.25">
      <c r="C74" s="880" t="s">
        <v>307</v>
      </c>
      <c r="D74" s="1030">
        <f>IF(D71/D70&gt;0,D71/D70,"")</f>
        <v>8.0461507263334675E-3</v>
      </c>
      <c r="E74" s="1031">
        <f t="shared" ref="E74:U74" si="52">IF(E71/E70&gt;0,E71/E70,"")</f>
        <v>7.3544860772205862E-3</v>
      </c>
      <c r="F74" s="1031">
        <f t="shared" si="52"/>
        <v>8.72496186793764E-3</v>
      </c>
      <c r="G74" s="1031">
        <f t="shared" si="52"/>
        <v>7.6858081180348212E-3</v>
      </c>
      <c r="H74" s="1031">
        <f t="shared" si="52"/>
        <v>6.9147448280317417E-3</v>
      </c>
      <c r="I74" s="1031">
        <f t="shared" si="52"/>
        <v>7.4976722677316072E-3</v>
      </c>
      <c r="J74" s="1031">
        <f t="shared" si="52"/>
        <v>8.1552445962065154E-3</v>
      </c>
      <c r="K74" s="1032">
        <f t="shared" si="52"/>
        <v>8.8360946202553983E-3</v>
      </c>
      <c r="L74" s="1032" t="str">
        <f t="shared" si="52"/>
        <v/>
      </c>
      <c r="M74" s="1032" t="str">
        <f t="shared" si="52"/>
        <v/>
      </c>
      <c r="N74" s="1032" t="str">
        <f t="shared" si="52"/>
        <v/>
      </c>
      <c r="O74" s="1032" t="str">
        <f t="shared" si="52"/>
        <v/>
      </c>
      <c r="P74" s="1032" t="str">
        <f t="shared" si="52"/>
        <v/>
      </c>
      <c r="Q74" s="1032" t="str">
        <f t="shared" si="52"/>
        <v/>
      </c>
      <c r="R74" s="1032" t="str">
        <f t="shared" si="52"/>
        <v/>
      </c>
      <c r="S74" s="1032" t="str">
        <f t="shared" si="52"/>
        <v/>
      </c>
      <c r="T74" s="1032" t="str">
        <f t="shared" si="52"/>
        <v/>
      </c>
      <c r="U74" s="1032" t="str">
        <f t="shared" si="52"/>
        <v/>
      </c>
    </row>
    <row r="75" spans="2:21" s="730" customFormat="1" ht="15.75" outlineLevel="1" x14ac:dyDescent="0.25">
      <c r="C75" s="880" t="s">
        <v>308</v>
      </c>
      <c r="D75" s="1030">
        <f>IF(D72/D70&gt;0,D72/D70,"")</f>
        <v>0.15947427348204674</v>
      </c>
      <c r="E75" s="1031">
        <f t="shared" ref="E75:U75" si="53">IF(E72/E70&gt;0,E72/E70,"")</f>
        <v>0.16774008081135999</v>
      </c>
      <c r="F75" s="1031">
        <f t="shared" si="53"/>
        <v>0.16744790540365204</v>
      </c>
      <c r="G75" s="1031">
        <f t="shared" si="53"/>
        <v>0.17473180503716915</v>
      </c>
      <c r="H75" s="1031">
        <f t="shared" si="53"/>
        <v>0.17248498393603931</v>
      </c>
      <c r="I75" s="1031">
        <f t="shared" si="53"/>
        <v>0.18139173024058744</v>
      </c>
      <c r="J75" s="1031">
        <f t="shared" si="53"/>
        <v>0.18828837993315184</v>
      </c>
      <c r="K75" s="1032">
        <f t="shared" si="53"/>
        <v>0.19214985069991036</v>
      </c>
      <c r="L75" s="1032" t="str">
        <f t="shared" si="53"/>
        <v/>
      </c>
      <c r="M75" s="1032" t="str">
        <f t="shared" si="53"/>
        <v/>
      </c>
      <c r="N75" s="1032" t="str">
        <f t="shared" si="53"/>
        <v/>
      </c>
      <c r="O75" s="1032" t="str">
        <f t="shared" si="53"/>
        <v/>
      </c>
      <c r="P75" s="1032" t="str">
        <f t="shared" si="53"/>
        <v/>
      </c>
      <c r="Q75" s="1032" t="str">
        <f t="shared" si="53"/>
        <v/>
      </c>
      <c r="R75" s="1032" t="str">
        <f t="shared" si="53"/>
        <v/>
      </c>
      <c r="S75" s="1032" t="str">
        <f t="shared" si="53"/>
        <v/>
      </c>
      <c r="T75" s="1032" t="str">
        <f t="shared" si="53"/>
        <v/>
      </c>
      <c r="U75" s="1032" t="str">
        <f t="shared" si="53"/>
        <v/>
      </c>
    </row>
    <row r="76" spans="2:21" s="730" customFormat="1" ht="15.75" outlineLevel="1" x14ac:dyDescent="0.25">
      <c r="C76" s="880" t="s">
        <v>309</v>
      </c>
      <c r="D76" s="1030">
        <f>IF(D73/D70&gt;0,D73/D70,"")</f>
        <v>4.3629893301461817E-2</v>
      </c>
      <c r="E76" s="1031">
        <f t="shared" ref="E76:U76" si="54">IF(E73/E70&gt;0,E73/E70,"")</f>
        <v>4.9394749157867353E-2</v>
      </c>
      <c r="F76" s="1031">
        <f t="shared" si="54"/>
        <v>4.0418976936229353E-2</v>
      </c>
      <c r="G76" s="1031">
        <f t="shared" si="54"/>
        <v>4.0602381892939153E-2</v>
      </c>
      <c r="H76" s="1031">
        <f t="shared" si="54"/>
        <v>3.6935979359773705E-2</v>
      </c>
      <c r="I76" s="1031">
        <f t="shared" si="54"/>
        <v>3.8836657397187585E-2</v>
      </c>
      <c r="J76" s="1031">
        <f t="shared" si="54"/>
        <v>4.2575323239118834E-2</v>
      </c>
      <c r="K76" s="1032">
        <f t="shared" si="54"/>
        <v>4.2500617671765689E-2</v>
      </c>
      <c r="L76" s="1032" t="str">
        <f t="shared" si="54"/>
        <v/>
      </c>
      <c r="M76" s="1032" t="str">
        <f t="shared" si="54"/>
        <v/>
      </c>
      <c r="N76" s="1032" t="str">
        <f t="shared" si="54"/>
        <v/>
      </c>
      <c r="O76" s="1032" t="str">
        <f t="shared" si="54"/>
        <v/>
      </c>
      <c r="P76" s="1032" t="str">
        <f t="shared" si="54"/>
        <v/>
      </c>
      <c r="Q76" s="1032" t="str">
        <f t="shared" si="54"/>
        <v/>
      </c>
      <c r="R76" s="1032" t="str">
        <f t="shared" si="54"/>
        <v/>
      </c>
      <c r="S76" s="1032" t="str">
        <f t="shared" si="54"/>
        <v/>
      </c>
      <c r="T76" s="1032" t="str">
        <f t="shared" si="54"/>
        <v/>
      </c>
      <c r="U76" s="1032" t="str">
        <f t="shared" si="54"/>
        <v/>
      </c>
    </row>
    <row r="77" spans="2:21" s="730" customFormat="1" ht="15.75" outlineLevel="1" x14ac:dyDescent="0.25">
      <c r="C77" s="122"/>
      <c r="D77" s="122"/>
      <c r="E77" s="122"/>
      <c r="F77" s="122"/>
      <c r="G77" s="122"/>
      <c r="H77" s="122"/>
      <c r="I77" s="122"/>
      <c r="J77" s="122"/>
      <c r="K77" s="122"/>
      <c r="L77" s="122"/>
      <c r="M77" s="122"/>
      <c r="N77" s="122"/>
      <c r="O77" s="122"/>
      <c r="P77" s="122"/>
      <c r="Q77" s="122"/>
      <c r="R77" s="122"/>
      <c r="S77" s="122"/>
      <c r="T77" s="122"/>
      <c r="U77" s="122"/>
    </row>
    <row r="78" spans="2:21" s="730" customFormat="1" ht="15.75" outlineLevel="1" x14ac:dyDescent="0.25">
      <c r="C78" s="1033" t="s">
        <v>315</v>
      </c>
      <c r="D78" s="1034"/>
      <c r="E78" s="890"/>
      <c r="F78" s="890"/>
      <c r="G78" s="505"/>
      <c r="H78" s="505"/>
      <c r="I78" s="505"/>
      <c r="J78" s="505"/>
      <c r="K78" s="505"/>
      <c r="L78" s="505"/>
      <c r="M78" s="505"/>
      <c r="N78" s="505"/>
      <c r="O78" s="99"/>
      <c r="P78" s="99"/>
      <c r="Q78" s="99"/>
      <c r="R78" s="99"/>
      <c r="S78" s="99"/>
      <c r="T78" s="99"/>
      <c r="U78" s="99"/>
    </row>
    <row r="79" spans="2:21" s="730" customFormat="1" ht="15.6" customHeight="1" outlineLevel="1" x14ac:dyDescent="0.25">
      <c r="C79" s="888" t="s">
        <v>310</v>
      </c>
      <c r="D79" s="1035">
        <f>MIN(D74:K74)</f>
        <v>6.9147448280317417E-3</v>
      </c>
      <c r="E79" s="890"/>
      <c r="F79" s="890"/>
      <c r="G79" s="505"/>
      <c r="H79" s="505"/>
      <c r="I79" s="505"/>
      <c r="J79" s="505"/>
      <c r="K79" s="505"/>
      <c r="L79" s="505"/>
      <c r="M79" s="505"/>
      <c r="N79" s="505"/>
      <c r="O79" s="99"/>
      <c r="P79" s="99"/>
      <c r="Q79" s="99"/>
      <c r="R79" s="99"/>
      <c r="S79" s="99"/>
      <c r="T79" s="99"/>
      <c r="U79" s="99"/>
    </row>
    <row r="80" spans="2:21" s="730" customFormat="1" ht="16.899999999999999" customHeight="1" outlineLevel="1" x14ac:dyDescent="0.25">
      <c r="C80" s="888" t="s">
        <v>311</v>
      </c>
      <c r="D80" s="1035">
        <f>MAX(D74:K74)</f>
        <v>8.8360946202553983E-3</v>
      </c>
      <c r="E80" s="890"/>
      <c r="F80" s="890"/>
      <c r="G80" s="505"/>
      <c r="H80" s="505"/>
      <c r="I80" s="505"/>
      <c r="J80" s="505"/>
      <c r="K80" s="505"/>
      <c r="L80" s="505"/>
      <c r="M80" s="505"/>
      <c r="N80" s="505"/>
      <c r="O80" s="99"/>
      <c r="P80" s="99"/>
      <c r="Q80" s="99"/>
      <c r="R80" s="99"/>
      <c r="S80" s="99"/>
      <c r="T80" s="99"/>
      <c r="U80" s="99"/>
    </row>
    <row r="81" spans="3:21" s="730" customFormat="1" ht="15.75" outlineLevel="1" x14ac:dyDescent="0.25">
      <c r="C81" s="888" t="s">
        <v>312</v>
      </c>
      <c r="D81" s="1035">
        <f>AVERAGE(D74:K74)</f>
        <v>7.9018953877189706E-3</v>
      </c>
      <c r="E81" s="890"/>
      <c r="F81" s="890"/>
      <c r="G81" s="505"/>
      <c r="H81" s="505"/>
      <c r="I81" s="505"/>
      <c r="J81" s="505"/>
      <c r="K81" s="505"/>
      <c r="L81" s="505"/>
      <c r="M81" s="505"/>
      <c r="N81" s="505"/>
      <c r="O81" s="99"/>
      <c r="P81" s="99"/>
      <c r="Q81" s="99"/>
      <c r="R81" s="99"/>
      <c r="S81" s="99"/>
      <c r="T81" s="99"/>
      <c r="U81" s="99"/>
    </row>
    <row r="82" spans="3:21" s="730" customFormat="1" ht="15.75" outlineLevel="1" x14ac:dyDescent="0.25">
      <c r="C82" s="888" t="s">
        <v>313</v>
      </c>
      <c r="D82" s="1035">
        <f>MEDIAN(D74:K74)</f>
        <v>7.8659794221841439E-3</v>
      </c>
      <c r="E82" s="890"/>
      <c r="F82" s="890"/>
      <c r="G82" s="505"/>
      <c r="H82" s="505"/>
      <c r="I82" s="505"/>
      <c r="J82" s="505"/>
      <c r="K82" s="505"/>
      <c r="L82" s="505"/>
      <c r="M82" s="505"/>
      <c r="N82" s="505"/>
      <c r="O82" s="99"/>
      <c r="P82" s="99"/>
      <c r="Q82" s="99"/>
      <c r="R82" s="99"/>
      <c r="S82" s="99"/>
      <c r="T82" s="99"/>
      <c r="U82" s="99"/>
    </row>
    <row r="83" spans="3:21" s="730" customFormat="1" ht="15.75" outlineLevel="1" x14ac:dyDescent="0.25">
      <c r="C83" s="888" t="s">
        <v>314</v>
      </c>
      <c r="D83" s="1035">
        <f>SUMPRODUCT(D74:K74,D68:K68)/SUM(D68:K68)</f>
        <v>7.9724574399656668E-3</v>
      </c>
      <c r="E83" s="949"/>
      <c r="F83" s="942"/>
      <c r="G83" s="505"/>
      <c r="H83" s="505"/>
      <c r="I83" s="505"/>
      <c r="J83" s="505"/>
      <c r="K83" s="505"/>
      <c r="L83" s="505"/>
      <c r="M83" s="505"/>
      <c r="N83" s="505"/>
      <c r="O83" s="99"/>
      <c r="P83" s="99"/>
      <c r="Q83" s="99"/>
      <c r="R83" s="99"/>
      <c r="S83" s="99"/>
      <c r="T83" s="99"/>
      <c r="U83" s="99"/>
    </row>
    <row r="84" spans="3:21" s="730" customFormat="1" ht="15.75" outlineLevel="1" x14ac:dyDescent="0.25">
      <c r="C84" s="725"/>
      <c r="D84" s="1037"/>
      <c r="E84" s="1038"/>
      <c r="F84" s="1039"/>
      <c r="G84" s="505"/>
      <c r="H84" s="505"/>
      <c r="I84" s="505"/>
      <c r="J84" s="505"/>
      <c r="K84" s="505"/>
      <c r="L84" s="505"/>
      <c r="M84" s="505"/>
      <c r="N84" s="505"/>
      <c r="O84" s="99"/>
      <c r="P84" s="99"/>
      <c r="Q84" s="99"/>
      <c r="R84" s="99"/>
      <c r="S84" s="99"/>
      <c r="T84" s="99"/>
      <c r="U84" s="99"/>
    </row>
    <row r="85" spans="3:21" s="730" customFormat="1" ht="15.75" outlineLevel="1" x14ac:dyDescent="0.25">
      <c r="C85" s="1033" t="s">
        <v>316</v>
      </c>
      <c r="D85" s="1034"/>
      <c r="E85" s="890"/>
      <c r="F85" s="890"/>
      <c r="G85" s="505"/>
      <c r="H85" s="505"/>
      <c r="I85" s="505"/>
      <c r="J85" s="505"/>
      <c r="K85" s="505"/>
      <c r="L85" s="505"/>
      <c r="M85" s="505"/>
      <c r="N85" s="505"/>
      <c r="O85" s="99"/>
      <c r="P85" s="99"/>
      <c r="Q85" s="99"/>
      <c r="R85" s="99"/>
      <c r="S85" s="99"/>
      <c r="T85" s="99"/>
      <c r="U85" s="99"/>
    </row>
    <row r="86" spans="3:21" s="730" customFormat="1" ht="15.75" outlineLevel="1" x14ac:dyDescent="0.25">
      <c r="C86" s="888" t="s">
        <v>319</v>
      </c>
      <c r="D86" s="1035">
        <f>MIN(D75:K75)</f>
        <v>0.15947427348204674</v>
      </c>
      <c r="E86" s="890"/>
      <c r="F86" s="890"/>
      <c r="G86" s="505"/>
      <c r="H86" s="505"/>
      <c r="I86" s="505"/>
      <c r="J86" s="505"/>
      <c r="K86" s="505"/>
      <c r="L86" s="505"/>
      <c r="M86" s="505"/>
      <c r="N86" s="505"/>
      <c r="O86" s="99"/>
      <c r="P86" s="99"/>
      <c r="Q86" s="99"/>
      <c r="R86" s="99"/>
      <c r="S86" s="99"/>
      <c r="T86" s="99"/>
      <c r="U86" s="99"/>
    </row>
    <row r="87" spans="3:21" s="730" customFormat="1" ht="15.75" outlineLevel="1" x14ac:dyDescent="0.25">
      <c r="C87" s="888" t="s">
        <v>320</v>
      </c>
      <c r="D87" s="1035">
        <f>MAX(D75:K75)</f>
        <v>0.19214985069991036</v>
      </c>
      <c r="E87" s="890"/>
      <c r="F87" s="890"/>
      <c r="G87" s="505"/>
      <c r="H87" s="505"/>
      <c r="I87" s="505"/>
      <c r="J87" s="505"/>
      <c r="K87" s="505"/>
      <c r="L87" s="505"/>
      <c r="M87" s="505"/>
      <c r="N87" s="505"/>
      <c r="O87" s="99"/>
      <c r="P87" s="99"/>
      <c r="Q87" s="99"/>
      <c r="R87" s="99"/>
      <c r="S87" s="99"/>
      <c r="T87" s="99"/>
      <c r="U87" s="99"/>
    </row>
    <row r="88" spans="3:21" s="730" customFormat="1" ht="15.75" outlineLevel="1" x14ac:dyDescent="0.25">
      <c r="C88" s="888" t="s">
        <v>321</v>
      </c>
      <c r="D88" s="1035">
        <f>AVERAGE(D75:K75)</f>
        <v>0.17546362619298961</v>
      </c>
      <c r="E88" s="890"/>
      <c r="F88" s="890"/>
      <c r="G88" s="505"/>
      <c r="H88" s="505"/>
      <c r="I88" s="505"/>
      <c r="J88" s="505"/>
      <c r="K88" s="505"/>
      <c r="L88" s="505"/>
      <c r="M88" s="505"/>
      <c r="N88" s="505"/>
      <c r="O88" s="99"/>
      <c r="P88" s="99"/>
      <c r="Q88" s="99"/>
      <c r="R88" s="99"/>
      <c r="S88" s="99"/>
      <c r="T88" s="99"/>
      <c r="U88" s="99"/>
    </row>
    <row r="89" spans="3:21" s="730" customFormat="1" ht="15.75" outlineLevel="1" x14ac:dyDescent="0.25">
      <c r="C89" s="888" t="s">
        <v>322</v>
      </c>
      <c r="D89" s="1035">
        <f>MEDIAN(D75:K75)</f>
        <v>0.17360839448660423</v>
      </c>
      <c r="E89" s="890"/>
      <c r="F89" s="890"/>
      <c r="G89" s="505"/>
      <c r="H89" s="505"/>
      <c r="I89" s="505"/>
      <c r="J89" s="505"/>
      <c r="K89" s="505"/>
      <c r="L89" s="505"/>
      <c r="M89" s="505"/>
      <c r="N89" s="505"/>
      <c r="O89" s="99"/>
      <c r="P89" s="99"/>
      <c r="Q89" s="99"/>
      <c r="R89" s="99"/>
      <c r="S89" s="99"/>
      <c r="T89" s="99"/>
      <c r="U89" s="99"/>
    </row>
    <row r="90" spans="3:21" s="730" customFormat="1" ht="15" customHeight="1" outlineLevel="1" x14ac:dyDescent="0.25">
      <c r="C90" s="888" t="s">
        <v>323</v>
      </c>
      <c r="D90" s="1035">
        <f>SUMPRODUCT(D68:K68,D75:K75)/SUM(D68:K68)</f>
        <v>0.18061717049220741</v>
      </c>
      <c r="E90" s="949"/>
      <c r="F90" s="942"/>
      <c r="G90" s="505"/>
      <c r="H90" s="505"/>
      <c r="I90" s="505"/>
      <c r="J90" s="505"/>
      <c r="K90" s="505"/>
      <c r="L90" s="505"/>
      <c r="M90" s="505"/>
      <c r="N90" s="505"/>
      <c r="O90" s="99"/>
      <c r="P90" s="99"/>
      <c r="Q90" s="99"/>
      <c r="R90" s="99"/>
      <c r="S90" s="99"/>
      <c r="T90" s="99"/>
      <c r="U90" s="99"/>
    </row>
    <row r="91" spans="3:21" s="730" customFormat="1" ht="15.75" outlineLevel="1" x14ac:dyDescent="0.25">
      <c r="C91" s="502"/>
      <c r="D91" s="503"/>
      <c r="E91" s="504"/>
      <c r="F91" s="504"/>
      <c r="G91" s="505"/>
      <c r="H91" s="505"/>
      <c r="I91" s="505"/>
      <c r="J91" s="505"/>
      <c r="K91" s="505"/>
      <c r="L91" s="505"/>
      <c r="M91" s="505"/>
      <c r="N91" s="505"/>
      <c r="O91" s="99"/>
      <c r="P91" s="99"/>
      <c r="Q91" s="99"/>
      <c r="R91" s="99"/>
      <c r="S91" s="99"/>
      <c r="T91" s="99"/>
      <c r="U91" s="99"/>
    </row>
    <row r="92" spans="3:21" s="730" customFormat="1" ht="15.75" outlineLevel="1" x14ac:dyDescent="0.25">
      <c r="C92" s="1033" t="s">
        <v>324</v>
      </c>
      <c r="D92" s="1034"/>
      <c r="E92" s="890"/>
      <c r="F92" s="890"/>
      <c r="G92" s="505"/>
      <c r="H92" s="505"/>
      <c r="I92" s="505"/>
      <c r="J92" s="505"/>
      <c r="K92" s="505"/>
      <c r="L92" s="505"/>
      <c r="M92" s="505"/>
      <c r="N92" s="505"/>
      <c r="O92" s="99"/>
      <c r="P92" s="99"/>
      <c r="Q92" s="99"/>
      <c r="R92" s="99"/>
      <c r="S92" s="99"/>
      <c r="T92" s="99"/>
      <c r="U92" s="99"/>
    </row>
    <row r="93" spans="3:21" s="730" customFormat="1" ht="15.75" outlineLevel="1" x14ac:dyDescent="0.25">
      <c r="C93" s="888" t="s">
        <v>325</v>
      </c>
      <c r="D93" s="1035">
        <f>MIN(D76:K76)</f>
        <v>3.6935979359773705E-2</v>
      </c>
      <c r="E93" s="890"/>
      <c r="F93" s="890"/>
      <c r="G93" s="505"/>
      <c r="H93" s="505"/>
      <c r="I93" s="505"/>
      <c r="J93" s="505"/>
      <c r="K93" s="505"/>
      <c r="L93" s="505"/>
      <c r="M93" s="505"/>
      <c r="N93" s="505"/>
      <c r="O93" s="99"/>
      <c r="P93" s="99"/>
      <c r="Q93" s="99"/>
      <c r="R93" s="99"/>
      <c r="S93" s="99"/>
      <c r="T93" s="99"/>
      <c r="U93" s="99"/>
    </row>
    <row r="94" spans="3:21" s="730" customFormat="1" ht="15.75" outlineLevel="1" x14ac:dyDescent="0.25">
      <c r="C94" s="888" t="s">
        <v>326</v>
      </c>
      <c r="D94" s="1035">
        <f>MAX(D76:K76)</f>
        <v>4.9394749157867353E-2</v>
      </c>
      <c r="E94" s="890"/>
      <c r="F94" s="890"/>
      <c r="G94" s="505"/>
      <c r="H94" s="505"/>
      <c r="I94" s="505"/>
      <c r="J94" s="505"/>
      <c r="K94" s="505"/>
      <c r="L94" s="505"/>
      <c r="M94" s="505"/>
      <c r="N94" s="505"/>
      <c r="O94" s="99"/>
      <c r="P94" s="99"/>
      <c r="Q94" s="99"/>
      <c r="R94" s="99"/>
      <c r="S94" s="99"/>
      <c r="T94" s="99"/>
      <c r="U94" s="99"/>
    </row>
    <row r="95" spans="3:21" s="730" customFormat="1" ht="15.75" outlineLevel="1" x14ac:dyDescent="0.25">
      <c r="C95" s="888" t="s">
        <v>327</v>
      </c>
      <c r="D95" s="1035">
        <f>AVERAGE(D76:K76)</f>
        <v>4.1861822369542945E-2</v>
      </c>
      <c r="E95" s="890"/>
      <c r="F95" s="890"/>
      <c r="G95" s="505"/>
      <c r="H95" s="505"/>
      <c r="I95" s="505"/>
      <c r="J95" s="505"/>
      <c r="K95" s="505"/>
      <c r="L95" s="505"/>
      <c r="M95" s="505"/>
      <c r="N95" s="505"/>
      <c r="O95" s="99"/>
      <c r="P95" s="99"/>
      <c r="Q95" s="99"/>
      <c r="R95" s="99"/>
      <c r="S95" s="99"/>
      <c r="T95" s="99"/>
      <c r="U95" s="99"/>
    </row>
    <row r="96" spans="3:21" s="730" customFormat="1" ht="15.75" outlineLevel="1" x14ac:dyDescent="0.25">
      <c r="C96" s="888" t="s">
        <v>328</v>
      </c>
      <c r="D96" s="1035">
        <f>MEDIAN(D76:K76)</f>
        <v>4.1551499782352425E-2</v>
      </c>
      <c r="E96" s="890"/>
      <c r="F96" s="890"/>
      <c r="G96" s="505"/>
      <c r="H96" s="505"/>
      <c r="I96" s="505"/>
      <c r="J96" s="505"/>
      <c r="K96" s="505"/>
      <c r="L96" s="505"/>
      <c r="M96" s="505"/>
      <c r="N96" s="505"/>
      <c r="O96" s="99"/>
      <c r="P96" s="99"/>
      <c r="Q96" s="99"/>
      <c r="R96" s="99"/>
      <c r="S96" s="99"/>
      <c r="T96" s="99"/>
      <c r="U96" s="99"/>
    </row>
    <row r="97" spans="2:23" s="730" customFormat="1" ht="15.75" outlineLevel="1" x14ac:dyDescent="0.25">
      <c r="C97" s="888" t="s">
        <v>329</v>
      </c>
      <c r="D97" s="1035">
        <f>SUMPRODUCT(D68:K68,D76:K76)/SUM(D68:K68)</f>
        <v>4.1161608200766461E-2</v>
      </c>
      <c r="E97" s="949"/>
      <c r="F97" s="942"/>
      <c r="G97" s="505"/>
      <c r="H97" s="505"/>
      <c r="I97" s="505"/>
      <c r="J97" s="505"/>
      <c r="K97" s="505"/>
      <c r="L97" s="505"/>
      <c r="M97" s="505"/>
      <c r="N97" s="505"/>
      <c r="O97" s="99"/>
      <c r="P97" s="99"/>
      <c r="Q97" s="99"/>
      <c r="R97" s="99"/>
      <c r="S97" s="99"/>
      <c r="T97" s="99"/>
      <c r="U97" s="99"/>
    </row>
    <row r="98" spans="2:23" s="99" customFormat="1" ht="15.75" thickBot="1" x14ac:dyDescent="0.3">
      <c r="C98" s="241"/>
      <c r="D98" s="501"/>
      <c r="E98" s="505"/>
      <c r="F98" s="505"/>
      <c r="G98" s="505"/>
      <c r="H98" s="505"/>
      <c r="I98" s="505"/>
      <c r="J98" s="505"/>
      <c r="K98" s="505"/>
      <c r="L98" s="505"/>
      <c r="M98" s="505"/>
      <c r="N98" s="505"/>
    </row>
    <row r="99" spans="2:23" s="319" customFormat="1" ht="19.5" thickBot="1" x14ac:dyDescent="0.35">
      <c r="B99" s="1280" t="s">
        <v>297</v>
      </c>
      <c r="C99" s="1281" t="s">
        <v>1452</v>
      </c>
      <c r="D99" s="1282"/>
      <c r="E99" s="1282"/>
      <c r="F99" s="1282"/>
      <c r="G99" s="1283"/>
      <c r="H99" s="1284"/>
      <c r="I99" s="1285"/>
      <c r="J99" s="1285"/>
      <c r="K99" s="1285"/>
      <c r="L99" s="1286"/>
      <c r="M99" s="1286"/>
      <c r="N99" s="1286"/>
      <c r="O99" s="1286"/>
      <c r="P99" s="1286"/>
      <c r="Q99" s="1286"/>
      <c r="R99" s="1286"/>
      <c r="S99" s="1286"/>
      <c r="T99" s="1286"/>
      <c r="U99" s="1287"/>
      <c r="W99" s="54"/>
    </row>
    <row r="100" spans="2:23" ht="6" customHeight="1" x14ac:dyDescent="0.25">
      <c r="D100" s="55"/>
      <c r="E100" s="55"/>
      <c r="F100" s="55"/>
      <c r="H100" s="55"/>
      <c r="I100" s="55"/>
      <c r="J100" s="55"/>
      <c r="K100" s="55"/>
      <c r="L100" s="55"/>
      <c r="M100" s="55"/>
      <c r="N100" s="55"/>
      <c r="O100" s="55"/>
      <c r="P100" s="55"/>
      <c r="Q100" s="55"/>
      <c r="R100" s="55"/>
      <c r="W100" s="54"/>
    </row>
    <row r="101" spans="2:23" ht="15.75" outlineLevel="1" thickBot="1" x14ac:dyDescent="0.3">
      <c r="C101" s="56"/>
      <c r="D101" s="850" t="str">
        <f>+Mali!C53</f>
        <v>2008/12</v>
      </c>
      <c r="E101" s="851" t="str">
        <f>+Mali!D53</f>
        <v>2009/12</v>
      </c>
      <c r="F101" s="851" t="str">
        <f>+Mali!E53</f>
        <v>2010/12</v>
      </c>
      <c r="G101" s="20" t="str">
        <f>+Mali!F53</f>
        <v>2011/12</v>
      </c>
      <c r="H101" s="20" t="str">
        <f>+Mali!G53</f>
        <v>2012/12</v>
      </c>
      <c r="I101" s="20" t="str">
        <f>+Mali!H53</f>
        <v>2013/12</v>
      </c>
      <c r="J101" s="20" t="str">
        <f>+Mali!I53</f>
        <v>2014/12</v>
      </c>
      <c r="K101" s="21" t="str">
        <f>+Mali!J53</f>
        <v>2015/12</v>
      </c>
      <c r="L101" s="1535">
        <f>+Sales!E153</f>
        <v>2016</v>
      </c>
      <c r="M101" s="59">
        <f t="shared" ref="M101:U101" si="55">+L101+1</f>
        <v>2017</v>
      </c>
      <c r="N101" s="59">
        <f t="shared" si="55"/>
        <v>2018</v>
      </c>
      <c r="O101" s="59">
        <f t="shared" si="55"/>
        <v>2019</v>
      </c>
      <c r="P101" s="59">
        <f t="shared" si="55"/>
        <v>2020</v>
      </c>
      <c r="Q101" s="59">
        <f t="shared" si="55"/>
        <v>2021</v>
      </c>
      <c r="R101" s="59">
        <f t="shared" si="55"/>
        <v>2022</v>
      </c>
      <c r="S101" s="59">
        <f t="shared" si="55"/>
        <v>2023</v>
      </c>
      <c r="T101" s="59">
        <f t="shared" si="55"/>
        <v>2024</v>
      </c>
      <c r="U101" s="60">
        <f t="shared" si="55"/>
        <v>2025</v>
      </c>
      <c r="W101" s="54"/>
    </row>
    <row r="102" spans="2:23" s="7" customFormat="1" outlineLevel="1" x14ac:dyDescent="0.25">
      <c r="C102" s="61" t="s">
        <v>238</v>
      </c>
      <c r="D102" s="1557">
        <f>+Mali!C56</f>
        <v>6775.5379999999996</v>
      </c>
      <c r="E102" s="1558">
        <f>+Mali!D56</f>
        <v>6591.8950000000004</v>
      </c>
      <c r="F102" s="1558">
        <f>+Mali!E56</f>
        <v>6936.42</v>
      </c>
      <c r="G102" s="1559">
        <f>+Mali!F56</f>
        <v>8437.2389999999996</v>
      </c>
      <c r="H102" s="1559">
        <f>+Mali!G56</f>
        <v>10556.861000000001</v>
      </c>
      <c r="I102" s="1559">
        <f>+Mali!H56</f>
        <v>11097.710999999999</v>
      </c>
      <c r="J102" s="1559">
        <f>+Mali!I56</f>
        <v>12514.032999999999</v>
      </c>
      <c r="K102" s="1560">
        <f>+Mali!J56</f>
        <v>14166.1</v>
      </c>
      <c r="L102" s="1561">
        <f>+Sales!E154</f>
        <v>15887.936510951396</v>
      </c>
      <c r="M102" s="1562">
        <f>+Sales!F154</f>
        <v>17657.550911746246</v>
      </c>
      <c r="N102" s="1562">
        <f>+Sales!G154</f>
        <v>19444.673690891348</v>
      </c>
      <c r="O102" s="1562">
        <f>+Sales!H154</f>
        <v>21416.837089600605</v>
      </c>
      <c r="P102" s="1562">
        <f>+Sales!I154</f>
        <v>23593.578072421064</v>
      </c>
      <c r="Q102" s="1562">
        <f>+Sales!J154</f>
        <v>25938.916071454521</v>
      </c>
      <c r="R102" s="1562">
        <f>+Sales!K154</f>
        <v>28081.168950086354</v>
      </c>
      <c r="S102" s="1562">
        <f>+Sales!L154</f>
        <v>30213.732173147568</v>
      </c>
      <c r="T102" s="1562">
        <f>+Sales!M154</f>
        <v>32300.616337178635</v>
      </c>
      <c r="U102" s="1563">
        <f>+Sales!N154</f>
        <v>34533.888102892684</v>
      </c>
      <c r="W102" s="103"/>
    </row>
    <row r="103" spans="2:23" s="7" customFormat="1" outlineLevel="1" x14ac:dyDescent="0.25">
      <c r="C103" s="1536" t="s">
        <v>945</v>
      </c>
      <c r="D103" s="1555">
        <f>SUM(D104:D106)</f>
        <v>1430.6569999999999</v>
      </c>
      <c r="E103" s="1556">
        <f t="shared" ref="E103:K103" si="56">SUM(E104:E106)</f>
        <v>1479.81</v>
      </c>
      <c r="F103" s="1556">
        <f t="shared" si="56"/>
        <v>1502.3720000000001</v>
      </c>
      <c r="G103" s="1553">
        <f t="shared" si="56"/>
        <v>1881.6729999999998</v>
      </c>
      <c r="H103" s="1553">
        <f t="shared" si="56"/>
        <v>2283.826</v>
      </c>
      <c r="I103" s="1553">
        <f t="shared" si="56"/>
        <v>2527.2379999999998</v>
      </c>
      <c r="J103" s="1553">
        <f t="shared" si="56"/>
        <v>2991.0909999999994</v>
      </c>
      <c r="K103" s="1554">
        <f t="shared" si="56"/>
        <v>3449.2550000000001</v>
      </c>
      <c r="L103" s="1552">
        <f>+SUM(L104:L106)</f>
        <v>3827.6631960655582</v>
      </c>
      <c r="M103" s="1553">
        <f t="shared" ref="M103:U103" si="57">+SUM(M104:M106)</f>
        <v>4290.1747512802467</v>
      </c>
      <c r="N103" s="1553">
        <f t="shared" si="57"/>
        <v>4757.2623470698891</v>
      </c>
      <c r="O103" s="1553">
        <f t="shared" si="57"/>
        <v>5272.7126961769027</v>
      </c>
      <c r="P103" s="1553">
        <f t="shared" si="57"/>
        <v>5841.6320363515952</v>
      </c>
      <c r="Q103" s="1553">
        <f t="shared" si="57"/>
        <v>6454.6163819524427</v>
      </c>
      <c r="R103" s="1553">
        <f t="shared" si="57"/>
        <v>7014.52181113188</v>
      </c>
      <c r="S103" s="1553">
        <f t="shared" si="57"/>
        <v>7571.8947238119872</v>
      </c>
      <c r="T103" s="1553">
        <f t="shared" si="57"/>
        <v>8117.3288250632977</v>
      </c>
      <c r="U103" s="1554">
        <f t="shared" si="57"/>
        <v>8701.023214707453</v>
      </c>
      <c r="W103" s="103"/>
    </row>
    <row r="104" spans="2:23" outlineLevel="1" x14ac:dyDescent="0.25">
      <c r="C104" s="29" t="s">
        <v>786</v>
      </c>
      <c r="D104" s="856">
        <f>+Mali!C60</f>
        <v>54.517000000000003</v>
      </c>
      <c r="E104" s="539">
        <f>+Mali!D60</f>
        <v>48.48</v>
      </c>
      <c r="F104" s="539">
        <f>+Mali!E60</f>
        <v>60.52</v>
      </c>
      <c r="G104" s="80">
        <f>+Mali!F60</f>
        <v>64.846999999999994</v>
      </c>
      <c r="H104" s="80">
        <f>+Mali!G60</f>
        <v>72.998000000000005</v>
      </c>
      <c r="I104" s="80">
        <f>+Mali!H60</f>
        <v>83.206999999999994</v>
      </c>
      <c r="J104" s="80">
        <f>+Mali!I60</f>
        <v>102.05500000000001</v>
      </c>
      <c r="K104" s="1047">
        <f>+Mali!J60</f>
        <v>125.173</v>
      </c>
      <c r="L104" s="83">
        <f>FORECAST(L102,$D$104:$K$104,$D$102:$K$102)</f>
        <v>131.05535389460277</v>
      </c>
      <c r="M104" s="84">
        <f t="shared" ref="M104:U104" si="58">FORECAST(M102,$D$104:$K$104,$D$102:$K$102)</f>
        <v>146.50069371105775</v>
      </c>
      <c r="N104" s="84">
        <f t="shared" si="58"/>
        <v>162.09884809159695</v>
      </c>
      <c r="O104" s="84">
        <f t="shared" si="58"/>
        <v>179.31205219581159</v>
      </c>
      <c r="P104" s="84">
        <f t="shared" si="58"/>
        <v>198.31082625470543</v>
      </c>
      <c r="Q104" s="84">
        <f t="shared" si="58"/>
        <v>218.7811289168252</v>
      </c>
      <c r="R104" s="84">
        <f t="shared" si="58"/>
        <v>237.47888797008881</v>
      </c>
      <c r="S104" s="84">
        <f t="shared" si="58"/>
        <v>256.09207491378692</v>
      </c>
      <c r="T104" s="84">
        <f t="shared" si="58"/>
        <v>274.30657127896148</v>
      </c>
      <c r="U104" s="85">
        <f t="shared" si="58"/>
        <v>293.79875065343685</v>
      </c>
      <c r="W104" s="54"/>
    </row>
    <row r="105" spans="2:23" outlineLevel="1" x14ac:dyDescent="0.25">
      <c r="C105" s="29" t="s">
        <v>1190</v>
      </c>
      <c r="D105" s="856">
        <f>+Mali!C61</f>
        <v>1080.5239999999999</v>
      </c>
      <c r="E105" s="539">
        <f>+Mali!D61</f>
        <v>1105.7249999999999</v>
      </c>
      <c r="F105" s="539">
        <f>+Mali!E61</f>
        <v>1161.489</v>
      </c>
      <c r="G105" s="80">
        <f>+Mali!F61</f>
        <v>1474.2539999999999</v>
      </c>
      <c r="H105" s="80">
        <f>+Mali!G61</f>
        <v>1820.9</v>
      </c>
      <c r="I105" s="80">
        <f>+Mali!H61</f>
        <v>2013.0329999999999</v>
      </c>
      <c r="J105" s="80">
        <f>+Mali!I61</f>
        <v>2356.2469999999998</v>
      </c>
      <c r="K105" s="1047">
        <f>+Mali!J61</f>
        <v>2722.0140000000001</v>
      </c>
      <c r="L105" s="83">
        <f>FORECAST(L102,$D$105:$K$105,$D$102:$K$102)</f>
        <v>3053.819970869029</v>
      </c>
      <c r="M105" s="84">
        <f t="shared" ref="M105:U105" si="59">FORECAST(M102,$D$105:$K$105,$D$102:$K$102)</f>
        <v>3432.1795379275236</v>
      </c>
      <c r="N105" s="84">
        <f t="shared" si="59"/>
        <v>3814.282554660434</v>
      </c>
      <c r="O105" s="84">
        <f t="shared" si="59"/>
        <v>4235.948929758355</v>
      </c>
      <c r="P105" s="84">
        <f t="shared" si="59"/>
        <v>4701.3558429754394</v>
      </c>
      <c r="Q105" s="84">
        <f t="shared" si="59"/>
        <v>5202.8103234100199</v>
      </c>
      <c r="R105" s="84">
        <f t="shared" si="59"/>
        <v>5660.8433679675727</v>
      </c>
      <c r="S105" s="84">
        <f t="shared" si="59"/>
        <v>6116.8046765102063</v>
      </c>
      <c r="T105" s="84">
        <f t="shared" si="59"/>
        <v>6562.9993890133173</v>
      </c>
      <c r="U105" s="85">
        <f t="shared" si="59"/>
        <v>7040.4930949980735</v>
      </c>
      <c r="W105" s="54"/>
    </row>
    <row r="106" spans="2:23" outlineLevel="1" x14ac:dyDescent="0.25">
      <c r="C106" s="29" t="s">
        <v>32</v>
      </c>
      <c r="D106" s="856">
        <f>+Mali!C62</f>
        <v>295.61599999999999</v>
      </c>
      <c r="E106" s="539">
        <f>+Mali!D62</f>
        <v>325.60500000000002</v>
      </c>
      <c r="F106" s="539">
        <f>+Mali!E62</f>
        <v>280.363</v>
      </c>
      <c r="G106" s="80">
        <f>+Mali!F62</f>
        <v>342.572</v>
      </c>
      <c r="H106" s="80">
        <f>+Mali!G62</f>
        <v>389.928</v>
      </c>
      <c r="I106" s="80">
        <f>+Mali!H62</f>
        <v>430.99799999999999</v>
      </c>
      <c r="J106" s="80">
        <f>+Mali!I62</f>
        <v>532.78899999999999</v>
      </c>
      <c r="K106" s="1047">
        <f>+Mali!J62</f>
        <v>602.06799999999998</v>
      </c>
      <c r="L106" s="83">
        <f>FORECAST(L102,$D$106:$K$106,$D$102:$K$102)</f>
        <v>642.78787130192632</v>
      </c>
      <c r="M106" s="84">
        <f t="shared" ref="M106:U106" si="60">FORECAST(M102,$D$106:$K$106,$D$102:$K$102)</f>
        <v>711.49451964166497</v>
      </c>
      <c r="N106" s="84">
        <f t="shared" si="60"/>
        <v>780.88094431785839</v>
      </c>
      <c r="O106" s="84">
        <f t="shared" si="60"/>
        <v>857.4517142227362</v>
      </c>
      <c r="P106" s="84">
        <f t="shared" si="60"/>
        <v>941.96536712145053</v>
      </c>
      <c r="Q106" s="84">
        <f t="shared" si="60"/>
        <v>1033.0249296255981</v>
      </c>
      <c r="R106" s="84">
        <f t="shared" si="60"/>
        <v>1116.1995551942184</v>
      </c>
      <c r="S106" s="84">
        <f t="shared" si="60"/>
        <v>1198.9979723879947</v>
      </c>
      <c r="T106" s="84">
        <f t="shared" si="60"/>
        <v>1280.0228647710187</v>
      </c>
      <c r="U106" s="85">
        <f t="shared" si="60"/>
        <v>1366.731369055942</v>
      </c>
      <c r="W106" s="54"/>
    </row>
    <row r="107" spans="2:23" outlineLevel="1" x14ac:dyDescent="0.25">
      <c r="C107" s="29" t="s">
        <v>1191</v>
      </c>
      <c r="D107" s="1566">
        <f>+D104/D102</f>
        <v>8.0461507263334675E-3</v>
      </c>
      <c r="E107" s="1567">
        <f t="shared" ref="E107:K107" si="61">+E104/E102</f>
        <v>7.3544860772205862E-3</v>
      </c>
      <c r="F107" s="1567">
        <f t="shared" si="61"/>
        <v>8.72496186793764E-3</v>
      </c>
      <c r="G107" s="1564">
        <f t="shared" si="61"/>
        <v>7.6858081180348212E-3</v>
      </c>
      <c r="H107" s="1564">
        <f t="shared" si="61"/>
        <v>6.9147448280317417E-3</v>
      </c>
      <c r="I107" s="1564">
        <f t="shared" si="61"/>
        <v>7.4976722677316072E-3</v>
      </c>
      <c r="J107" s="1564">
        <f t="shared" si="61"/>
        <v>8.1552445962065154E-3</v>
      </c>
      <c r="K107" s="1565">
        <f t="shared" si="61"/>
        <v>8.8360946202553983E-3</v>
      </c>
      <c r="L107" s="1062">
        <f t="shared" ref="L107:U107" si="62">+L104/L102</f>
        <v>8.2487334843179688E-3</v>
      </c>
      <c r="M107" s="1564">
        <f t="shared" si="62"/>
        <v>8.2967731166841384E-3</v>
      </c>
      <c r="N107" s="1564">
        <f t="shared" si="62"/>
        <v>8.3364139027712475E-3</v>
      </c>
      <c r="O107" s="1564">
        <f t="shared" si="62"/>
        <v>8.3724805603008629E-3</v>
      </c>
      <c r="P107" s="1564">
        <f t="shared" si="62"/>
        <v>8.4052883223555801E-3</v>
      </c>
      <c r="Q107" s="1564">
        <f t="shared" si="62"/>
        <v>8.4344746061918649E-3</v>
      </c>
      <c r="R107" s="1564">
        <f t="shared" si="62"/>
        <v>8.4568733015424752E-3</v>
      </c>
      <c r="S107" s="1564">
        <f t="shared" si="62"/>
        <v>8.4760159203830024E-3</v>
      </c>
      <c r="T107" s="1564">
        <f t="shared" si="62"/>
        <v>8.4923014599950306E-3</v>
      </c>
      <c r="U107" s="1565">
        <f t="shared" si="62"/>
        <v>8.5075491580349216E-3</v>
      </c>
      <c r="W107" s="54"/>
    </row>
    <row r="108" spans="2:23" outlineLevel="1" x14ac:dyDescent="0.25">
      <c r="C108" s="29" t="s">
        <v>1192</v>
      </c>
      <c r="D108" s="1566">
        <f>+D105/D102</f>
        <v>0.15947427348204674</v>
      </c>
      <c r="E108" s="1567">
        <f t="shared" ref="E108:K108" si="63">+E105/E102</f>
        <v>0.16774008081135999</v>
      </c>
      <c r="F108" s="1567">
        <f t="shared" si="63"/>
        <v>0.16744790540365204</v>
      </c>
      <c r="G108" s="1564">
        <f t="shared" si="63"/>
        <v>0.17473180503716915</v>
      </c>
      <c r="H108" s="1564">
        <f t="shared" si="63"/>
        <v>0.17248498393603931</v>
      </c>
      <c r="I108" s="1564">
        <f t="shared" si="63"/>
        <v>0.18139173024058744</v>
      </c>
      <c r="J108" s="1564">
        <f t="shared" si="63"/>
        <v>0.18828837993315184</v>
      </c>
      <c r="K108" s="1565">
        <f t="shared" si="63"/>
        <v>0.19214985069991036</v>
      </c>
      <c r="L108" s="1062">
        <f t="shared" ref="L108:U108" si="64">+L105/L102</f>
        <v>0.1922099807463393</v>
      </c>
      <c r="M108" s="1564">
        <f t="shared" si="64"/>
        <v>0.19437460806891127</v>
      </c>
      <c r="N108" s="1564">
        <f t="shared" si="64"/>
        <v>0.19616079011123722</v>
      </c>
      <c r="O108" s="1564">
        <f t="shared" si="64"/>
        <v>0.19778592478602777</v>
      </c>
      <c r="P108" s="1564">
        <f t="shared" si="64"/>
        <v>0.19926421624327234</v>
      </c>
      <c r="Q108" s="1564">
        <f t="shared" si="64"/>
        <v>0.20057932679521842</v>
      </c>
      <c r="R108" s="1564">
        <f t="shared" si="64"/>
        <v>0.20158859405139418</v>
      </c>
      <c r="S108" s="1564">
        <f t="shared" si="64"/>
        <v>0.20245114511031881</v>
      </c>
      <c r="T108" s="1564">
        <f t="shared" si="64"/>
        <v>0.20318495846963694</v>
      </c>
      <c r="U108" s="1565">
        <f t="shared" si="64"/>
        <v>0.20387200751971904</v>
      </c>
      <c r="W108" s="54"/>
    </row>
    <row r="109" spans="2:23" outlineLevel="1" x14ac:dyDescent="0.25">
      <c r="C109" s="29" t="s">
        <v>1193</v>
      </c>
      <c r="D109" s="1566">
        <f>+D106/D102</f>
        <v>4.3629893301461817E-2</v>
      </c>
      <c r="E109" s="1567">
        <f t="shared" ref="E109:K109" si="65">+E106/E102</f>
        <v>4.9394749157867353E-2</v>
      </c>
      <c r="F109" s="1567">
        <f t="shared" si="65"/>
        <v>4.0418976936229353E-2</v>
      </c>
      <c r="G109" s="1564">
        <f t="shared" si="65"/>
        <v>4.0602381892939153E-2</v>
      </c>
      <c r="H109" s="1564">
        <f t="shared" si="65"/>
        <v>3.6935979359773705E-2</v>
      </c>
      <c r="I109" s="1564">
        <f t="shared" si="65"/>
        <v>3.8836657397187585E-2</v>
      </c>
      <c r="J109" s="1564">
        <f t="shared" si="65"/>
        <v>4.2575323239118834E-2</v>
      </c>
      <c r="K109" s="1565">
        <f t="shared" si="65"/>
        <v>4.2500617671765689E-2</v>
      </c>
      <c r="L109" s="1062">
        <f t="shared" ref="L109:U109" si="66">+L106/L102</f>
        <v>4.045760573494607E-2</v>
      </c>
      <c r="M109" s="1564">
        <f t="shared" si="66"/>
        <v>4.0294065875713318E-2</v>
      </c>
      <c r="N109" s="1564">
        <f t="shared" si="66"/>
        <v>4.0159117953398923E-2</v>
      </c>
      <c r="O109" s="1564">
        <f t="shared" si="66"/>
        <v>4.0036337328217798E-2</v>
      </c>
      <c r="P109" s="1564">
        <f t="shared" si="66"/>
        <v>3.9924650861775386E-2</v>
      </c>
      <c r="Q109" s="1564">
        <f t="shared" si="66"/>
        <v>3.9825292883476734E-2</v>
      </c>
      <c r="R109" s="1564">
        <f t="shared" si="66"/>
        <v>3.9749041686200387E-2</v>
      </c>
      <c r="S109" s="1564">
        <f t="shared" si="66"/>
        <v>3.9683875051146553E-2</v>
      </c>
      <c r="T109" s="1564">
        <f t="shared" si="66"/>
        <v>3.9628434684005939E-2</v>
      </c>
      <c r="U109" s="1565">
        <f t="shared" si="66"/>
        <v>3.9576527409361115E-2</v>
      </c>
      <c r="W109" s="54"/>
    </row>
    <row r="110" spans="2:23" s="99" customFormat="1" ht="15.75" thickBot="1" x14ac:dyDescent="0.3">
      <c r="C110" s="241"/>
      <c r="D110" s="501"/>
      <c r="E110" s="505"/>
      <c r="F110" s="505"/>
      <c r="G110" s="505"/>
      <c r="H110" s="505"/>
      <c r="I110" s="505"/>
      <c r="J110" s="505"/>
      <c r="K110" s="505"/>
      <c r="L110" s="505"/>
      <c r="M110" s="505"/>
      <c r="N110" s="505"/>
    </row>
    <row r="111" spans="2:23" s="319" customFormat="1" ht="19.5" thickBot="1" x14ac:dyDescent="0.35">
      <c r="B111" s="1280" t="s">
        <v>299</v>
      </c>
      <c r="C111" s="1281" t="s">
        <v>1197</v>
      </c>
      <c r="D111" s="1282"/>
      <c r="E111" s="1282"/>
      <c r="F111" s="1282"/>
      <c r="G111" s="1283"/>
      <c r="H111" s="1284"/>
      <c r="I111" s="1285"/>
      <c r="J111" s="1285"/>
      <c r="K111" s="1285"/>
      <c r="L111" s="1286"/>
      <c r="M111" s="1286"/>
      <c r="N111" s="1286"/>
      <c r="O111" s="1286"/>
      <c r="P111" s="1286"/>
      <c r="Q111" s="1286"/>
      <c r="R111" s="1286"/>
      <c r="S111" s="1286"/>
      <c r="T111" s="1286"/>
      <c r="U111" s="1287"/>
    </row>
    <row r="112" spans="2:23" ht="5.25" customHeight="1" x14ac:dyDescent="0.25"/>
    <row r="113" spans="3:21" ht="14.25" customHeight="1" x14ac:dyDescent="0.25">
      <c r="D113" s="508" t="s">
        <v>270</v>
      </c>
    </row>
    <row r="114" spans="3:21" x14ac:dyDescent="0.25">
      <c r="C114" s="35" t="s">
        <v>1194</v>
      </c>
      <c r="D114" s="361">
        <v>4</v>
      </c>
      <c r="E114" s="362">
        <f>IF($D$114=1,F25,IF($D$114=2,L39,IF($D$114=3,M71,IF($D$114=4,L104,0))))</f>
        <v>131.05535389460277</v>
      </c>
      <c r="F114" s="362">
        <f t="shared" ref="F114:N114" si="67">IF($D$114=1,G25,IF($D$114=2,M39,IF($D$114=3,N71,IF($D$114=4,M104,0))))</f>
        <v>146.50069371105775</v>
      </c>
      <c r="G114" s="362">
        <f t="shared" si="67"/>
        <v>162.09884809159695</v>
      </c>
      <c r="H114" s="362">
        <f t="shared" si="67"/>
        <v>179.31205219581159</v>
      </c>
      <c r="I114" s="362">
        <f t="shared" si="67"/>
        <v>198.31082625470543</v>
      </c>
      <c r="J114" s="362">
        <f t="shared" si="67"/>
        <v>218.7811289168252</v>
      </c>
      <c r="K114" s="362">
        <f t="shared" si="67"/>
        <v>237.47888797008881</v>
      </c>
      <c r="L114" s="362">
        <f t="shared" si="67"/>
        <v>256.09207491378692</v>
      </c>
      <c r="M114" s="362">
        <f t="shared" si="67"/>
        <v>274.30657127896148</v>
      </c>
      <c r="N114" s="363">
        <f t="shared" si="67"/>
        <v>293.79875065343685</v>
      </c>
    </row>
    <row r="115" spans="3:21" x14ac:dyDescent="0.25">
      <c r="C115" s="35" t="s">
        <v>1195</v>
      </c>
      <c r="D115" s="361">
        <v>4</v>
      </c>
      <c r="E115" s="362">
        <f>IF($D$115=1,F29,IF($D$115=2,L40,IF($D$115=3,M72,IF($D$115=4,L105,0))))</f>
        <v>3053.819970869029</v>
      </c>
      <c r="F115" s="362">
        <f t="shared" ref="F115:N115" si="68">IF($D$115=1,G29,IF($D$115=2,M40,IF($D$115=3,N72,IF($D$115=4,M105,0))))</f>
        <v>3432.1795379275236</v>
      </c>
      <c r="G115" s="362">
        <f t="shared" si="68"/>
        <v>3814.282554660434</v>
      </c>
      <c r="H115" s="362">
        <f t="shared" si="68"/>
        <v>4235.948929758355</v>
      </c>
      <c r="I115" s="362">
        <f t="shared" si="68"/>
        <v>4701.3558429754394</v>
      </c>
      <c r="J115" s="362">
        <f t="shared" si="68"/>
        <v>5202.8103234100199</v>
      </c>
      <c r="K115" s="362">
        <f t="shared" si="68"/>
        <v>5660.8433679675727</v>
      </c>
      <c r="L115" s="362">
        <f t="shared" si="68"/>
        <v>6116.8046765102063</v>
      </c>
      <c r="M115" s="362">
        <f t="shared" si="68"/>
        <v>6562.9993890133173</v>
      </c>
      <c r="N115" s="363">
        <f t="shared" si="68"/>
        <v>7040.4930949980735</v>
      </c>
    </row>
    <row r="116" spans="3:21" x14ac:dyDescent="0.25">
      <c r="C116" s="35" t="s">
        <v>1196</v>
      </c>
      <c r="D116" s="361">
        <f>+D115</f>
        <v>4</v>
      </c>
      <c r="E116" s="362">
        <f>IF($D$116=1,F33,IF($D$116=2,L41,IF($D$116=3,M73,IF($D$116=4,L106,0))))</f>
        <v>642.78787130192632</v>
      </c>
      <c r="F116" s="362">
        <f t="shared" ref="F116:N116" si="69">IF($D$116=1,G33,IF($D$116=2,M41,IF($D$116=3,N73,IF($D$116=4,M106,0))))</f>
        <v>711.49451964166497</v>
      </c>
      <c r="G116" s="362">
        <f t="shared" si="69"/>
        <v>780.88094431785839</v>
      </c>
      <c r="H116" s="362">
        <f t="shared" si="69"/>
        <v>857.4517142227362</v>
      </c>
      <c r="I116" s="362">
        <f t="shared" si="69"/>
        <v>941.96536712145053</v>
      </c>
      <c r="J116" s="362">
        <f t="shared" si="69"/>
        <v>1033.0249296255981</v>
      </c>
      <c r="K116" s="362">
        <f t="shared" si="69"/>
        <v>1116.1995551942184</v>
      </c>
      <c r="L116" s="362">
        <f t="shared" si="69"/>
        <v>1198.9979723879947</v>
      </c>
      <c r="M116" s="362">
        <f t="shared" si="69"/>
        <v>1280.0228647710187</v>
      </c>
      <c r="N116" s="363">
        <f t="shared" si="69"/>
        <v>1366.731369055942</v>
      </c>
    </row>
    <row r="117" spans="3:21" s="7" customFormat="1" x14ac:dyDescent="0.25">
      <c r="C117" s="2099" t="s">
        <v>794</v>
      </c>
      <c r="D117" s="2100"/>
      <c r="E117" s="1568">
        <f>+SUM(E114:E116)</f>
        <v>3827.6631960655582</v>
      </c>
      <c r="F117" s="1568">
        <f t="shared" ref="F117:N117" si="70">+SUM(F114:F116)</f>
        <v>4290.1747512802467</v>
      </c>
      <c r="G117" s="1568">
        <f t="shared" si="70"/>
        <v>4757.2623470698891</v>
      </c>
      <c r="H117" s="1568">
        <f t="shared" si="70"/>
        <v>5272.7126961769027</v>
      </c>
      <c r="I117" s="1568">
        <f t="shared" si="70"/>
        <v>5841.6320363515952</v>
      </c>
      <c r="J117" s="1568">
        <f t="shared" si="70"/>
        <v>6454.6163819524427</v>
      </c>
      <c r="K117" s="1568">
        <f t="shared" si="70"/>
        <v>7014.52181113188</v>
      </c>
      <c r="L117" s="1568">
        <f t="shared" si="70"/>
        <v>7571.8947238119872</v>
      </c>
      <c r="M117" s="1568">
        <f t="shared" si="70"/>
        <v>8117.3288250632977</v>
      </c>
      <c r="N117" s="1569">
        <f t="shared" si="70"/>
        <v>8701.023214707453</v>
      </c>
    </row>
    <row r="118" spans="3:21" s="1582" customFormat="1" x14ac:dyDescent="0.25">
      <c r="D118" s="1582">
        <v>1</v>
      </c>
      <c r="E118" s="1582">
        <v>2</v>
      </c>
      <c r="F118" s="1582">
        <v>3</v>
      </c>
      <c r="G118" s="1582">
        <v>4</v>
      </c>
      <c r="H118" s="1582">
        <v>5</v>
      </c>
      <c r="I118" s="1582">
        <v>6</v>
      </c>
      <c r="J118" s="1582">
        <v>7</v>
      </c>
      <c r="K118" s="1582">
        <v>8</v>
      </c>
    </row>
    <row r="119" spans="3:21" ht="15.75" thickBot="1" x14ac:dyDescent="0.3">
      <c r="C119" s="56"/>
      <c r="D119" s="850" t="str">
        <f>+D101</f>
        <v>2008/12</v>
      </c>
      <c r="E119" s="851" t="str">
        <f t="shared" ref="E119:U119" si="71">+E101</f>
        <v>2009/12</v>
      </c>
      <c r="F119" s="851" t="str">
        <f t="shared" si="71"/>
        <v>2010/12</v>
      </c>
      <c r="G119" s="20" t="str">
        <f t="shared" si="71"/>
        <v>2011/12</v>
      </c>
      <c r="H119" s="20" t="str">
        <f t="shared" si="71"/>
        <v>2012/12</v>
      </c>
      <c r="I119" s="20" t="str">
        <f t="shared" si="71"/>
        <v>2013/12</v>
      </c>
      <c r="J119" s="20" t="str">
        <f t="shared" si="71"/>
        <v>2014/12</v>
      </c>
      <c r="K119" s="21" t="str">
        <f t="shared" si="71"/>
        <v>2015/12</v>
      </c>
      <c r="L119" s="1535">
        <f t="shared" si="71"/>
        <v>2016</v>
      </c>
      <c r="M119" s="59">
        <f t="shared" si="71"/>
        <v>2017</v>
      </c>
      <c r="N119" s="59">
        <f t="shared" si="71"/>
        <v>2018</v>
      </c>
      <c r="O119" s="59">
        <f t="shared" si="71"/>
        <v>2019</v>
      </c>
      <c r="P119" s="59">
        <f t="shared" si="71"/>
        <v>2020</v>
      </c>
      <c r="Q119" s="59">
        <f t="shared" si="71"/>
        <v>2021</v>
      </c>
      <c r="R119" s="59">
        <f t="shared" si="71"/>
        <v>2022</v>
      </c>
      <c r="S119" s="59">
        <f t="shared" si="71"/>
        <v>2023</v>
      </c>
      <c r="T119" s="59">
        <f t="shared" si="71"/>
        <v>2024</v>
      </c>
      <c r="U119" s="60">
        <f t="shared" si="71"/>
        <v>2025</v>
      </c>
    </row>
    <row r="120" spans="3:21" x14ac:dyDescent="0.25">
      <c r="C120" s="61" t="s">
        <v>238</v>
      </c>
      <c r="D120" s="1557">
        <f>+D102</f>
        <v>6775.5379999999996</v>
      </c>
      <c r="E120" s="1558">
        <f t="shared" ref="E120:U121" si="72">+E102</f>
        <v>6591.8950000000004</v>
      </c>
      <c r="F120" s="1558">
        <f t="shared" si="72"/>
        <v>6936.42</v>
      </c>
      <c r="G120" s="1559">
        <f t="shared" si="72"/>
        <v>8437.2389999999996</v>
      </c>
      <c r="H120" s="1559">
        <f t="shared" si="72"/>
        <v>10556.861000000001</v>
      </c>
      <c r="I120" s="1559">
        <f t="shared" si="72"/>
        <v>11097.710999999999</v>
      </c>
      <c r="J120" s="1559">
        <f t="shared" si="72"/>
        <v>12514.032999999999</v>
      </c>
      <c r="K120" s="1560">
        <f t="shared" si="72"/>
        <v>14166.1</v>
      </c>
      <c r="L120" s="1570">
        <f t="shared" si="72"/>
        <v>15887.936510951396</v>
      </c>
      <c r="M120" s="1559">
        <f t="shared" si="72"/>
        <v>17657.550911746246</v>
      </c>
      <c r="N120" s="1559">
        <f t="shared" si="72"/>
        <v>19444.673690891348</v>
      </c>
      <c r="O120" s="1559">
        <f t="shared" si="72"/>
        <v>21416.837089600605</v>
      </c>
      <c r="P120" s="1559">
        <f t="shared" si="72"/>
        <v>23593.578072421064</v>
      </c>
      <c r="Q120" s="1559">
        <f t="shared" si="72"/>
        <v>25938.916071454521</v>
      </c>
      <c r="R120" s="1559">
        <f t="shared" si="72"/>
        <v>28081.168950086354</v>
      </c>
      <c r="S120" s="1559">
        <f t="shared" si="72"/>
        <v>30213.732173147568</v>
      </c>
      <c r="T120" s="1559">
        <f t="shared" si="72"/>
        <v>32300.616337178635</v>
      </c>
      <c r="U120" s="1560">
        <f t="shared" si="72"/>
        <v>34533.888102892684</v>
      </c>
    </row>
    <row r="121" spans="3:21" x14ac:dyDescent="0.25">
      <c r="C121" s="35" t="s">
        <v>945</v>
      </c>
      <c r="D121" s="1583">
        <f>+D103</f>
        <v>1430.6569999999999</v>
      </c>
      <c r="E121" s="1584">
        <f t="shared" si="72"/>
        <v>1479.81</v>
      </c>
      <c r="F121" s="1584">
        <f t="shared" si="72"/>
        <v>1502.3720000000001</v>
      </c>
      <c r="G121" s="1585">
        <f t="shared" si="72"/>
        <v>1881.6729999999998</v>
      </c>
      <c r="H121" s="1585">
        <f t="shared" si="72"/>
        <v>2283.826</v>
      </c>
      <c r="I121" s="1585">
        <f t="shared" si="72"/>
        <v>2527.2379999999998</v>
      </c>
      <c r="J121" s="1585">
        <f t="shared" si="72"/>
        <v>2991.0909999999994</v>
      </c>
      <c r="K121" s="1586">
        <f t="shared" si="72"/>
        <v>3449.2550000000001</v>
      </c>
      <c r="L121" s="1587">
        <f t="shared" si="72"/>
        <v>3827.6631960655582</v>
      </c>
      <c r="M121" s="1585">
        <f t="shared" si="72"/>
        <v>4290.1747512802467</v>
      </c>
      <c r="N121" s="1585">
        <f t="shared" si="72"/>
        <v>4757.2623470698891</v>
      </c>
      <c r="O121" s="1585">
        <f t="shared" si="72"/>
        <v>5272.7126961769027</v>
      </c>
      <c r="P121" s="1585">
        <f t="shared" si="72"/>
        <v>5841.6320363515952</v>
      </c>
      <c r="Q121" s="1585">
        <f t="shared" si="72"/>
        <v>6454.6163819524427</v>
      </c>
      <c r="R121" s="1585">
        <f t="shared" si="72"/>
        <v>7014.52181113188</v>
      </c>
      <c r="S121" s="1585">
        <f t="shared" si="72"/>
        <v>7571.8947238119872</v>
      </c>
      <c r="T121" s="1585">
        <f t="shared" si="72"/>
        <v>8117.3288250632977</v>
      </c>
      <c r="U121" s="1586">
        <f t="shared" si="72"/>
        <v>8701.023214707453</v>
      </c>
    </row>
    <row r="122" spans="3:21" x14ac:dyDescent="0.25">
      <c r="C122" s="29" t="s">
        <v>786</v>
      </c>
      <c r="D122" s="856">
        <f>+D104</f>
        <v>54.517000000000003</v>
      </c>
      <c r="E122" s="539">
        <f t="shared" ref="E122:K122" si="73">+E104</f>
        <v>48.48</v>
      </c>
      <c r="F122" s="539">
        <f t="shared" si="73"/>
        <v>60.52</v>
      </c>
      <c r="G122" s="80">
        <f t="shared" si="73"/>
        <v>64.846999999999994</v>
      </c>
      <c r="H122" s="80">
        <f t="shared" si="73"/>
        <v>72.998000000000005</v>
      </c>
      <c r="I122" s="80">
        <f t="shared" si="73"/>
        <v>83.206999999999994</v>
      </c>
      <c r="J122" s="80">
        <f t="shared" si="73"/>
        <v>102.05500000000001</v>
      </c>
      <c r="K122" s="1047">
        <f t="shared" si="73"/>
        <v>125.173</v>
      </c>
      <c r="L122" s="83">
        <f>+E114</f>
        <v>131.05535389460277</v>
      </c>
      <c r="M122" s="84">
        <f t="shared" ref="M122:U124" si="74">+F114</f>
        <v>146.50069371105775</v>
      </c>
      <c r="N122" s="84">
        <f t="shared" si="74"/>
        <v>162.09884809159695</v>
      </c>
      <c r="O122" s="84">
        <f t="shared" si="74"/>
        <v>179.31205219581159</v>
      </c>
      <c r="P122" s="84">
        <f t="shared" si="74"/>
        <v>198.31082625470543</v>
      </c>
      <c r="Q122" s="84">
        <f t="shared" si="74"/>
        <v>218.7811289168252</v>
      </c>
      <c r="R122" s="84">
        <f t="shared" si="74"/>
        <v>237.47888797008881</v>
      </c>
      <c r="S122" s="84">
        <f t="shared" si="74"/>
        <v>256.09207491378692</v>
      </c>
      <c r="T122" s="84">
        <f t="shared" si="74"/>
        <v>274.30657127896148</v>
      </c>
      <c r="U122" s="85">
        <f t="shared" si="74"/>
        <v>293.79875065343685</v>
      </c>
    </row>
    <row r="123" spans="3:21" x14ac:dyDescent="0.25">
      <c r="C123" s="29" t="s">
        <v>1190</v>
      </c>
      <c r="D123" s="856">
        <f t="shared" ref="D123:K124" si="75">+D105</f>
        <v>1080.5239999999999</v>
      </c>
      <c r="E123" s="539">
        <f t="shared" si="75"/>
        <v>1105.7249999999999</v>
      </c>
      <c r="F123" s="539">
        <f t="shared" si="75"/>
        <v>1161.489</v>
      </c>
      <c r="G123" s="80">
        <f t="shared" si="75"/>
        <v>1474.2539999999999</v>
      </c>
      <c r="H123" s="80">
        <f t="shared" si="75"/>
        <v>1820.9</v>
      </c>
      <c r="I123" s="80">
        <f t="shared" si="75"/>
        <v>2013.0329999999999</v>
      </c>
      <c r="J123" s="80">
        <f t="shared" si="75"/>
        <v>2356.2469999999998</v>
      </c>
      <c r="K123" s="1047">
        <f t="shared" si="75"/>
        <v>2722.0140000000001</v>
      </c>
      <c r="L123" s="83">
        <f t="shared" ref="L123:L124" si="76">+E115</f>
        <v>3053.819970869029</v>
      </c>
      <c r="M123" s="84">
        <f t="shared" si="74"/>
        <v>3432.1795379275236</v>
      </c>
      <c r="N123" s="84">
        <f t="shared" si="74"/>
        <v>3814.282554660434</v>
      </c>
      <c r="O123" s="84">
        <f t="shared" si="74"/>
        <v>4235.948929758355</v>
      </c>
      <c r="P123" s="84">
        <f t="shared" si="74"/>
        <v>4701.3558429754394</v>
      </c>
      <c r="Q123" s="84">
        <f t="shared" si="74"/>
        <v>5202.8103234100199</v>
      </c>
      <c r="R123" s="84">
        <f t="shared" si="74"/>
        <v>5660.8433679675727</v>
      </c>
      <c r="S123" s="84">
        <f t="shared" si="74"/>
        <v>6116.8046765102063</v>
      </c>
      <c r="T123" s="84">
        <f t="shared" si="74"/>
        <v>6562.9993890133173</v>
      </c>
      <c r="U123" s="85">
        <f t="shared" si="74"/>
        <v>7040.4930949980735</v>
      </c>
    </row>
    <row r="124" spans="3:21" x14ac:dyDescent="0.25">
      <c r="C124" s="29" t="s">
        <v>32</v>
      </c>
      <c r="D124" s="856">
        <f t="shared" si="75"/>
        <v>295.61599999999999</v>
      </c>
      <c r="E124" s="539">
        <f t="shared" si="75"/>
        <v>325.60500000000002</v>
      </c>
      <c r="F124" s="539">
        <f t="shared" si="75"/>
        <v>280.363</v>
      </c>
      <c r="G124" s="80">
        <f t="shared" si="75"/>
        <v>342.572</v>
      </c>
      <c r="H124" s="80">
        <f t="shared" si="75"/>
        <v>389.928</v>
      </c>
      <c r="I124" s="80">
        <f t="shared" si="75"/>
        <v>430.99799999999999</v>
      </c>
      <c r="J124" s="80">
        <f t="shared" si="75"/>
        <v>532.78899999999999</v>
      </c>
      <c r="K124" s="1047">
        <f t="shared" si="75"/>
        <v>602.06799999999998</v>
      </c>
      <c r="L124" s="83">
        <f t="shared" si="76"/>
        <v>642.78787130192632</v>
      </c>
      <c r="M124" s="84">
        <f t="shared" si="74"/>
        <v>711.49451964166497</v>
      </c>
      <c r="N124" s="84">
        <f t="shared" si="74"/>
        <v>780.88094431785839</v>
      </c>
      <c r="O124" s="84">
        <f t="shared" si="74"/>
        <v>857.4517142227362</v>
      </c>
      <c r="P124" s="84">
        <f t="shared" si="74"/>
        <v>941.96536712145053</v>
      </c>
      <c r="Q124" s="84">
        <f t="shared" si="74"/>
        <v>1033.0249296255981</v>
      </c>
      <c r="R124" s="84">
        <f t="shared" si="74"/>
        <v>1116.1995551942184</v>
      </c>
      <c r="S124" s="84">
        <f t="shared" si="74"/>
        <v>1198.9979723879947</v>
      </c>
      <c r="T124" s="84">
        <f t="shared" si="74"/>
        <v>1280.0228647710187</v>
      </c>
      <c r="U124" s="85">
        <f t="shared" si="74"/>
        <v>1366.731369055942</v>
      </c>
    </row>
    <row r="125" spans="3:21" x14ac:dyDescent="0.25">
      <c r="C125" s="1536" t="s">
        <v>1191</v>
      </c>
      <c r="D125" s="1571">
        <f>+D122/D120</f>
        <v>8.0461507263334675E-3</v>
      </c>
      <c r="E125" s="1572">
        <f t="shared" ref="E125:U125" si="77">+E122/E120</f>
        <v>7.3544860772205862E-3</v>
      </c>
      <c r="F125" s="1572">
        <f t="shared" si="77"/>
        <v>8.72496186793764E-3</v>
      </c>
      <c r="G125" s="1573">
        <f t="shared" si="77"/>
        <v>7.6858081180348212E-3</v>
      </c>
      <c r="H125" s="1573">
        <f t="shared" si="77"/>
        <v>6.9147448280317417E-3</v>
      </c>
      <c r="I125" s="1573">
        <f t="shared" si="77"/>
        <v>7.4976722677316072E-3</v>
      </c>
      <c r="J125" s="1573">
        <f t="shared" si="77"/>
        <v>8.1552445962065154E-3</v>
      </c>
      <c r="K125" s="1574">
        <f t="shared" si="77"/>
        <v>8.8360946202553983E-3</v>
      </c>
      <c r="L125" s="1575">
        <f t="shared" si="77"/>
        <v>8.2487334843179688E-3</v>
      </c>
      <c r="M125" s="1573">
        <f t="shared" si="77"/>
        <v>8.2967731166841384E-3</v>
      </c>
      <c r="N125" s="1573">
        <f t="shared" si="77"/>
        <v>8.3364139027712475E-3</v>
      </c>
      <c r="O125" s="1573">
        <f t="shared" si="77"/>
        <v>8.3724805603008629E-3</v>
      </c>
      <c r="P125" s="1573">
        <f t="shared" si="77"/>
        <v>8.4052883223555801E-3</v>
      </c>
      <c r="Q125" s="1573">
        <f t="shared" si="77"/>
        <v>8.4344746061918649E-3</v>
      </c>
      <c r="R125" s="1573">
        <f t="shared" si="77"/>
        <v>8.4568733015424752E-3</v>
      </c>
      <c r="S125" s="1573">
        <f t="shared" si="77"/>
        <v>8.4760159203830024E-3</v>
      </c>
      <c r="T125" s="1573">
        <f t="shared" si="77"/>
        <v>8.4923014599950306E-3</v>
      </c>
      <c r="U125" s="1574">
        <f t="shared" si="77"/>
        <v>8.5075491580349216E-3</v>
      </c>
    </row>
    <row r="126" spans="3:21" x14ac:dyDescent="0.25">
      <c r="C126" s="1536" t="s">
        <v>1192</v>
      </c>
      <c r="D126" s="1571">
        <f>+D123/D120</f>
        <v>0.15947427348204674</v>
      </c>
      <c r="E126" s="1572">
        <f t="shared" ref="E126:U126" si="78">+E123/E120</f>
        <v>0.16774008081135999</v>
      </c>
      <c r="F126" s="1572">
        <f t="shared" si="78"/>
        <v>0.16744790540365204</v>
      </c>
      <c r="G126" s="1573">
        <f t="shared" si="78"/>
        <v>0.17473180503716915</v>
      </c>
      <c r="H126" s="1573">
        <f t="shared" si="78"/>
        <v>0.17248498393603931</v>
      </c>
      <c r="I126" s="1573">
        <f t="shared" si="78"/>
        <v>0.18139173024058744</v>
      </c>
      <c r="J126" s="1573">
        <f t="shared" si="78"/>
        <v>0.18828837993315184</v>
      </c>
      <c r="K126" s="1574">
        <f t="shared" si="78"/>
        <v>0.19214985069991036</v>
      </c>
      <c r="L126" s="1575">
        <f t="shared" si="78"/>
        <v>0.1922099807463393</v>
      </c>
      <c r="M126" s="1573">
        <f t="shared" si="78"/>
        <v>0.19437460806891127</v>
      </c>
      <c r="N126" s="1573">
        <f t="shared" si="78"/>
        <v>0.19616079011123722</v>
      </c>
      <c r="O126" s="1573">
        <f t="shared" si="78"/>
        <v>0.19778592478602777</v>
      </c>
      <c r="P126" s="1573">
        <f t="shared" si="78"/>
        <v>0.19926421624327234</v>
      </c>
      <c r="Q126" s="1573">
        <f t="shared" si="78"/>
        <v>0.20057932679521842</v>
      </c>
      <c r="R126" s="1573">
        <f t="shared" si="78"/>
        <v>0.20158859405139418</v>
      </c>
      <c r="S126" s="1573">
        <f t="shared" si="78"/>
        <v>0.20245114511031881</v>
      </c>
      <c r="T126" s="1573">
        <f t="shared" si="78"/>
        <v>0.20318495846963694</v>
      </c>
      <c r="U126" s="1574">
        <f t="shared" si="78"/>
        <v>0.20387200751971904</v>
      </c>
    </row>
    <row r="127" spans="3:21" x14ac:dyDescent="0.25">
      <c r="C127" s="1536" t="s">
        <v>1193</v>
      </c>
      <c r="D127" s="1571">
        <f>+D124/D120</f>
        <v>4.3629893301461817E-2</v>
      </c>
      <c r="E127" s="1572">
        <f t="shared" ref="E127:U127" si="79">+E124/E120</f>
        <v>4.9394749157867353E-2</v>
      </c>
      <c r="F127" s="1572">
        <f t="shared" si="79"/>
        <v>4.0418976936229353E-2</v>
      </c>
      <c r="G127" s="1573">
        <f t="shared" si="79"/>
        <v>4.0602381892939153E-2</v>
      </c>
      <c r="H127" s="1573">
        <f t="shared" si="79"/>
        <v>3.6935979359773705E-2</v>
      </c>
      <c r="I127" s="1573">
        <f t="shared" si="79"/>
        <v>3.8836657397187585E-2</v>
      </c>
      <c r="J127" s="1573">
        <f t="shared" si="79"/>
        <v>4.2575323239118834E-2</v>
      </c>
      <c r="K127" s="1574">
        <f t="shared" si="79"/>
        <v>4.2500617671765689E-2</v>
      </c>
      <c r="L127" s="1575">
        <f t="shared" si="79"/>
        <v>4.045760573494607E-2</v>
      </c>
      <c r="M127" s="1573">
        <f t="shared" si="79"/>
        <v>4.0294065875713318E-2</v>
      </c>
      <c r="N127" s="1573">
        <f t="shared" si="79"/>
        <v>4.0159117953398923E-2</v>
      </c>
      <c r="O127" s="1573">
        <f t="shared" si="79"/>
        <v>4.0036337328217798E-2</v>
      </c>
      <c r="P127" s="1573">
        <f t="shared" si="79"/>
        <v>3.9924650861775386E-2</v>
      </c>
      <c r="Q127" s="1573">
        <f t="shared" si="79"/>
        <v>3.9825292883476734E-2</v>
      </c>
      <c r="R127" s="1573">
        <f t="shared" si="79"/>
        <v>3.9749041686200387E-2</v>
      </c>
      <c r="S127" s="1573">
        <f t="shared" si="79"/>
        <v>3.9683875051146553E-2</v>
      </c>
      <c r="T127" s="1573">
        <f t="shared" si="79"/>
        <v>3.9628434684005939E-2</v>
      </c>
      <c r="U127" s="1574">
        <f t="shared" si="79"/>
        <v>3.9576527409361115E-2</v>
      </c>
    </row>
    <row r="128" spans="3:21" x14ac:dyDescent="0.25">
      <c r="C128" s="1576" t="s">
        <v>1198</v>
      </c>
      <c r="D128" s="1577">
        <f>SUM(D125:D127)</f>
        <v>0.21115031750984203</v>
      </c>
      <c r="E128" s="1578">
        <f t="shared" ref="E128:K128" si="80">SUM(E125:E127)</f>
        <v>0.22448931604644792</v>
      </c>
      <c r="F128" s="1578">
        <f t="shared" si="80"/>
        <v>0.21659184420781902</v>
      </c>
      <c r="G128" s="1579">
        <f t="shared" si="80"/>
        <v>0.22301999504814313</v>
      </c>
      <c r="H128" s="1579">
        <f t="shared" si="80"/>
        <v>0.21633570812384478</v>
      </c>
      <c r="I128" s="1579">
        <f t="shared" si="80"/>
        <v>0.22772605990550662</v>
      </c>
      <c r="J128" s="1579">
        <f t="shared" si="80"/>
        <v>0.23901894776847718</v>
      </c>
      <c r="K128" s="1580">
        <f t="shared" si="80"/>
        <v>0.24348656299193144</v>
      </c>
      <c r="L128" s="1581">
        <f t="shared" ref="L128" si="81">SUM(L125:L127)</f>
        <v>0.24091631996560331</v>
      </c>
      <c r="M128" s="1579">
        <f t="shared" ref="M128" si="82">SUM(M125:M127)</f>
        <v>0.24296544706130874</v>
      </c>
      <c r="N128" s="1579">
        <f t="shared" ref="N128" si="83">SUM(N125:N127)</f>
        <v>0.24465632196740739</v>
      </c>
      <c r="O128" s="1579">
        <f t="shared" ref="O128" si="84">SUM(O125:O127)</f>
        <v>0.24619474267454641</v>
      </c>
      <c r="P128" s="1579">
        <f t="shared" ref="P128" si="85">SUM(P125:P127)</f>
        <v>0.24759415542740329</v>
      </c>
      <c r="Q128" s="1579">
        <f t="shared" ref="Q128" si="86">SUM(Q125:Q127)</f>
        <v>0.24883909428488704</v>
      </c>
      <c r="R128" s="1579">
        <f t="shared" ref="R128" si="87">SUM(R125:R127)</f>
        <v>0.24979450903913705</v>
      </c>
      <c r="S128" s="1579">
        <f t="shared" ref="S128" si="88">SUM(S125:S127)</f>
        <v>0.25061103608184837</v>
      </c>
      <c r="T128" s="1579">
        <f t="shared" ref="T128" si="89">SUM(T125:T127)</f>
        <v>0.25130569461363789</v>
      </c>
      <c r="U128" s="1580">
        <f t="shared" ref="U128" si="90">SUM(U125:U127)</f>
        <v>0.25195608408711506</v>
      </c>
    </row>
    <row r="129" spans="3:21" x14ac:dyDescent="0.25">
      <c r="C129" s="99"/>
      <c r="D129" s="99"/>
      <c r="E129" s="99"/>
      <c r="F129" s="99"/>
      <c r="G129" s="99"/>
      <c r="H129" s="99"/>
      <c r="I129" s="99"/>
      <c r="J129" s="99"/>
      <c r="K129" s="99"/>
      <c r="L129" s="99"/>
      <c r="M129" s="99"/>
      <c r="N129" s="99"/>
      <c r="O129" s="99"/>
      <c r="P129" s="99"/>
      <c r="Q129" s="99"/>
      <c r="R129" s="99"/>
      <c r="S129" s="99"/>
      <c r="T129" s="99"/>
      <c r="U129" s="99"/>
    </row>
    <row r="130" spans="3:21" ht="15.75" x14ac:dyDescent="0.25">
      <c r="C130" s="1033" t="s">
        <v>315</v>
      </c>
      <c r="D130" s="1034"/>
      <c r="E130" s="99"/>
      <c r="F130" s="99"/>
      <c r="G130" s="99"/>
      <c r="H130" s="99"/>
      <c r="I130" s="99"/>
      <c r="J130" s="99"/>
      <c r="K130" s="99"/>
      <c r="L130" s="99"/>
      <c r="M130" s="99"/>
      <c r="N130" s="99"/>
      <c r="O130" s="99"/>
      <c r="P130" s="99"/>
      <c r="Q130" s="99"/>
      <c r="R130" s="99"/>
      <c r="S130" s="99"/>
      <c r="T130" s="99"/>
      <c r="U130" s="99"/>
    </row>
    <row r="131" spans="3:21" ht="15.75" x14ac:dyDescent="0.25">
      <c r="C131" s="888" t="s">
        <v>310</v>
      </c>
      <c r="D131" s="1035">
        <f>MIN(D125:K125)</f>
        <v>6.9147448280317417E-3</v>
      </c>
      <c r="E131" s="99"/>
      <c r="F131" s="99"/>
      <c r="G131" s="99"/>
      <c r="H131" s="99"/>
      <c r="I131" s="99"/>
      <c r="J131" s="99"/>
      <c r="K131" s="99"/>
      <c r="L131" s="99"/>
      <c r="M131" s="99"/>
      <c r="N131" s="99"/>
      <c r="O131" s="99"/>
      <c r="P131" s="99"/>
      <c r="Q131" s="99"/>
      <c r="R131" s="99"/>
      <c r="S131" s="99"/>
      <c r="T131" s="99"/>
      <c r="U131" s="99"/>
    </row>
    <row r="132" spans="3:21" ht="15.75" x14ac:dyDescent="0.25">
      <c r="C132" s="888" t="s">
        <v>311</v>
      </c>
      <c r="D132" s="1035">
        <f>MAX(D125:K125)</f>
        <v>8.8360946202553983E-3</v>
      </c>
      <c r="E132" s="99"/>
      <c r="F132" s="99"/>
      <c r="G132" s="99"/>
      <c r="H132" s="99"/>
      <c r="I132" s="99"/>
      <c r="J132" s="99"/>
      <c r="K132" s="99"/>
      <c r="L132" s="99"/>
      <c r="M132" s="99"/>
      <c r="N132" s="99"/>
      <c r="O132" s="99"/>
      <c r="P132" s="99"/>
      <c r="Q132" s="99"/>
      <c r="R132" s="99"/>
      <c r="S132" s="99"/>
      <c r="T132" s="99"/>
      <c r="U132" s="99"/>
    </row>
    <row r="133" spans="3:21" ht="15.75" x14ac:dyDescent="0.25">
      <c r="C133" s="888" t="s">
        <v>312</v>
      </c>
      <c r="D133" s="1035">
        <f>AVERAGE(D125:K125)</f>
        <v>7.9018953877189706E-3</v>
      </c>
      <c r="E133" s="99"/>
      <c r="F133" s="99"/>
      <c r="G133" s="99"/>
      <c r="H133" s="99"/>
      <c r="I133" s="99"/>
      <c r="J133" s="99"/>
      <c r="K133" s="99"/>
      <c r="L133" s="99"/>
      <c r="M133" s="99"/>
      <c r="N133" s="99"/>
      <c r="O133" s="99"/>
      <c r="P133" s="99"/>
      <c r="Q133" s="99"/>
      <c r="R133" s="99"/>
      <c r="S133" s="99"/>
      <c r="T133" s="99"/>
      <c r="U133" s="99"/>
    </row>
    <row r="134" spans="3:21" ht="15.75" x14ac:dyDescent="0.25">
      <c r="C134" s="888" t="s">
        <v>313</v>
      </c>
      <c r="D134" s="1035">
        <f>MEDIAN(D125:K125)</f>
        <v>7.8659794221841439E-3</v>
      </c>
      <c r="E134" s="99"/>
      <c r="F134" s="99"/>
      <c r="G134" s="99"/>
      <c r="H134" s="99"/>
      <c r="I134" s="99"/>
      <c r="J134" s="99"/>
      <c r="K134" s="99"/>
      <c r="L134" s="99"/>
      <c r="M134" s="99"/>
      <c r="N134" s="99"/>
      <c r="O134" s="99"/>
      <c r="P134" s="99"/>
      <c r="Q134" s="99"/>
      <c r="R134" s="99"/>
      <c r="S134" s="99"/>
      <c r="T134" s="99"/>
      <c r="U134" s="99"/>
    </row>
    <row r="135" spans="3:21" ht="15.75" x14ac:dyDescent="0.25">
      <c r="C135" s="888" t="s">
        <v>1199</v>
      </c>
      <c r="D135" s="1035">
        <f>SUMPRODUCT(D125:K125,D118:K118)/SUM(D118:K118)</f>
        <v>7.9724574399656668E-3</v>
      </c>
      <c r="E135" s="99"/>
      <c r="F135" s="99"/>
      <c r="G135" s="99"/>
      <c r="H135" s="99"/>
      <c r="I135" s="99"/>
      <c r="J135" s="99"/>
      <c r="K135" s="99"/>
      <c r="L135" s="99"/>
      <c r="M135" s="99"/>
      <c r="N135" s="99"/>
      <c r="O135" s="99"/>
      <c r="P135" s="99"/>
      <c r="Q135" s="99"/>
      <c r="R135" s="99"/>
      <c r="S135" s="99"/>
      <c r="T135" s="99"/>
      <c r="U135" s="99"/>
    </row>
    <row r="136" spans="3:21" ht="15.75" x14ac:dyDescent="0.25">
      <c r="C136" s="725"/>
      <c r="D136" s="1037"/>
      <c r="E136" s="99"/>
      <c r="F136" s="99"/>
      <c r="G136" s="99"/>
      <c r="H136" s="99"/>
      <c r="I136" s="99"/>
      <c r="J136" s="99"/>
      <c r="K136" s="99"/>
      <c r="L136" s="99"/>
      <c r="M136" s="99"/>
      <c r="N136" s="99"/>
      <c r="O136" s="99"/>
      <c r="P136" s="99"/>
      <c r="Q136" s="99"/>
      <c r="R136" s="99"/>
      <c r="S136" s="99"/>
      <c r="T136" s="99"/>
      <c r="U136" s="99"/>
    </row>
    <row r="137" spans="3:21" ht="15.75" x14ac:dyDescent="0.25">
      <c r="C137" s="1033" t="s">
        <v>316</v>
      </c>
      <c r="D137" s="1034"/>
      <c r="E137" s="99"/>
      <c r="F137" s="99"/>
      <c r="G137" s="99"/>
      <c r="H137" s="99"/>
      <c r="I137" s="99"/>
      <c r="J137" s="99"/>
      <c r="K137" s="99"/>
      <c r="L137" s="99"/>
      <c r="M137" s="99"/>
      <c r="N137" s="99"/>
      <c r="O137" s="99"/>
      <c r="P137" s="99"/>
      <c r="Q137" s="99"/>
      <c r="R137" s="99"/>
      <c r="S137" s="99"/>
      <c r="T137" s="99"/>
      <c r="U137" s="99"/>
    </row>
    <row r="138" spans="3:21" ht="15.75" x14ac:dyDescent="0.25">
      <c r="C138" s="888" t="s">
        <v>319</v>
      </c>
      <c r="D138" s="1035">
        <f>MIN(D126:K126)</f>
        <v>0.15947427348204674</v>
      </c>
      <c r="E138" s="99"/>
      <c r="F138" s="99"/>
      <c r="G138" s="99"/>
      <c r="H138" s="99"/>
      <c r="I138" s="99"/>
      <c r="J138" s="99"/>
      <c r="K138" s="99"/>
      <c r="L138" s="99"/>
      <c r="M138" s="99"/>
      <c r="N138" s="99"/>
      <c r="O138" s="99"/>
      <c r="P138" s="99"/>
      <c r="Q138" s="99"/>
      <c r="R138" s="99"/>
      <c r="S138" s="99"/>
      <c r="T138" s="99"/>
      <c r="U138" s="99"/>
    </row>
    <row r="139" spans="3:21" ht="15.75" x14ac:dyDescent="0.25">
      <c r="C139" s="888" t="s">
        <v>320</v>
      </c>
      <c r="D139" s="1035">
        <f>MAX(D126:K126)</f>
        <v>0.19214985069991036</v>
      </c>
      <c r="E139" s="99"/>
      <c r="F139" s="99"/>
      <c r="G139" s="99"/>
      <c r="H139" s="99"/>
      <c r="I139" s="99"/>
      <c r="J139" s="99"/>
      <c r="K139" s="99"/>
      <c r="L139" s="99"/>
      <c r="M139" s="99"/>
      <c r="N139" s="99"/>
      <c r="O139" s="99"/>
      <c r="P139" s="99"/>
      <c r="Q139" s="99"/>
      <c r="R139" s="99"/>
      <c r="S139" s="99"/>
      <c r="T139" s="99"/>
      <c r="U139" s="99"/>
    </row>
    <row r="140" spans="3:21" ht="15.75" x14ac:dyDescent="0.25">
      <c r="C140" s="888" t="s">
        <v>321</v>
      </c>
      <c r="D140" s="1035">
        <f>AVERAGE(D126:K126)</f>
        <v>0.17546362619298961</v>
      </c>
      <c r="E140" s="99"/>
      <c r="F140" s="99"/>
      <c r="G140" s="99"/>
      <c r="H140" s="99"/>
      <c r="I140" s="99"/>
      <c r="J140" s="99"/>
      <c r="K140" s="99"/>
      <c r="L140" s="99"/>
      <c r="M140" s="99"/>
      <c r="N140" s="99"/>
      <c r="O140" s="99"/>
      <c r="P140" s="99"/>
      <c r="Q140" s="99"/>
      <c r="R140" s="99"/>
      <c r="S140" s="99"/>
      <c r="T140" s="99"/>
      <c r="U140" s="99"/>
    </row>
    <row r="141" spans="3:21" ht="15.75" x14ac:dyDescent="0.25">
      <c r="C141" s="888" t="s">
        <v>322</v>
      </c>
      <c r="D141" s="1035">
        <f>MEDIAN(D126:K126)</f>
        <v>0.17360839448660423</v>
      </c>
      <c r="E141" s="99"/>
      <c r="F141" s="99"/>
      <c r="G141" s="99"/>
      <c r="H141" s="99"/>
      <c r="I141" s="99"/>
      <c r="J141" s="99"/>
      <c r="K141" s="99"/>
      <c r="L141" s="99"/>
      <c r="M141" s="99"/>
      <c r="N141" s="99"/>
      <c r="O141" s="99"/>
      <c r="P141" s="99"/>
      <c r="Q141" s="99"/>
      <c r="R141" s="99"/>
      <c r="S141" s="99"/>
      <c r="T141" s="99"/>
      <c r="U141" s="99"/>
    </row>
    <row r="142" spans="3:21" ht="15.75" x14ac:dyDescent="0.25">
      <c r="C142" s="888" t="s">
        <v>1200</v>
      </c>
      <c r="D142" s="1035">
        <f>SUMPRODUCT(D118:K118,D126:K126)/SUM(D118:K118)</f>
        <v>0.18061717049220741</v>
      </c>
      <c r="E142" s="99"/>
      <c r="F142" s="99"/>
      <c r="G142" s="99"/>
      <c r="H142" s="99"/>
      <c r="I142" s="99"/>
      <c r="J142" s="99"/>
      <c r="K142" s="99"/>
      <c r="L142" s="99"/>
      <c r="M142" s="99"/>
      <c r="N142" s="99"/>
      <c r="O142" s="99"/>
      <c r="P142" s="99"/>
      <c r="Q142" s="99"/>
      <c r="R142" s="99"/>
      <c r="S142" s="99"/>
      <c r="T142" s="99"/>
      <c r="U142" s="99"/>
    </row>
    <row r="143" spans="3:21" ht="15.75" x14ac:dyDescent="0.25">
      <c r="C143" s="502"/>
      <c r="D143" s="503"/>
      <c r="E143" s="99"/>
      <c r="F143" s="99"/>
      <c r="G143" s="99"/>
      <c r="H143" s="99"/>
      <c r="I143" s="99"/>
      <c r="J143" s="99"/>
      <c r="K143" s="99"/>
      <c r="L143" s="99"/>
      <c r="M143" s="99"/>
      <c r="N143" s="99"/>
      <c r="O143" s="99"/>
      <c r="P143" s="99"/>
      <c r="Q143" s="99"/>
      <c r="R143" s="99"/>
      <c r="S143" s="99"/>
      <c r="T143" s="99"/>
      <c r="U143" s="99"/>
    </row>
    <row r="144" spans="3:21" ht="15.75" x14ac:dyDescent="0.25">
      <c r="C144" s="1033" t="s">
        <v>324</v>
      </c>
      <c r="D144" s="1034"/>
      <c r="E144" s="99"/>
      <c r="F144" s="99"/>
      <c r="G144" s="99"/>
      <c r="H144" s="99"/>
      <c r="I144" s="99"/>
      <c r="J144" s="99"/>
      <c r="K144" s="99"/>
      <c r="L144" s="99"/>
      <c r="M144" s="99"/>
      <c r="N144" s="99"/>
      <c r="O144" s="99"/>
      <c r="P144" s="99"/>
      <c r="Q144" s="99"/>
      <c r="R144" s="99"/>
      <c r="S144" s="99"/>
      <c r="T144" s="99"/>
      <c r="U144" s="99"/>
    </row>
    <row r="145" spans="3:21" ht="15.75" x14ac:dyDescent="0.25">
      <c r="C145" s="888" t="s">
        <v>325</v>
      </c>
      <c r="D145" s="1035">
        <f>MIN(D127:K127)</f>
        <v>3.6935979359773705E-2</v>
      </c>
      <c r="E145" s="99"/>
      <c r="F145" s="99"/>
      <c r="G145" s="99"/>
      <c r="H145" s="99"/>
      <c r="I145" s="99"/>
      <c r="J145" s="99"/>
      <c r="K145" s="99"/>
      <c r="L145" s="99"/>
      <c r="M145" s="99"/>
      <c r="N145" s="99"/>
      <c r="O145" s="99"/>
      <c r="P145" s="99"/>
      <c r="Q145" s="99"/>
      <c r="R145" s="99"/>
      <c r="S145" s="99"/>
      <c r="T145" s="99"/>
      <c r="U145" s="99"/>
    </row>
    <row r="146" spans="3:21" ht="15.75" x14ac:dyDescent="0.25">
      <c r="C146" s="888" t="s">
        <v>326</v>
      </c>
      <c r="D146" s="1035">
        <f>MAX(D127:K127)</f>
        <v>4.9394749157867353E-2</v>
      </c>
      <c r="E146" s="99"/>
      <c r="F146" s="99"/>
      <c r="G146" s="99"/>
      <c r="H146" s="99"/>
      <c r="I146" s="99"/>
      <c r="J146" s="99"/>
      <c r="K146" s="99"/>
      <c r="L146" s="99"/>
      <c r="M146" s="99"/>
      <c r="N146" s="99"/>
      <c r="O146" s="99"/>
      <c r="P146" s="99"/>
      <c r="Q146" s="99"/>
      <c r="R146" s="99"/>
      <c r="S146" s="99"/>
      <c r="T146" s="99"/>
      <c r="U146" s="99"/>
    </row>
    <row r="147" spans="3:21" ht="15.75" x14ac:dyDescent="0.25">
      <c r="C147" s="888" t="s">
        <v>327</v>
      </c>
      <c r="D147" s="1035">
        <f>AVERAGE(D127:K127)</f>
        <v>4.1861822369542945E-2</v>
      </c>
      <c r="E147" s="99"/>
      <c r="F147" s="99"/>
      <c r="G147" s="99"/>
      <c r="H147" s="99"/>
      <c r="I147" s="99"/>
      <c r="J147" s="99"/>
      <c r="K147" s="99"/>
      <c r="L147" s="99"/>
      <c r="M147" s="99"/>
      <c r="N147" s="99"/>
      <c r="O147" s="99"/>
      <c r="P147" s="99"/>
      <c r="Q147" s="99"/>
      <c r="R147" s="99"/>
      <c r="S147" s="99"/>
      <c r="T147" s="99"/>
      <c r="U147" s="99"/>
    </row>
    <row r="148" spans="3:21" ht="15.75" x14ac:dyDescent="0.25">
      <c r="C148" s="888" t="s">
        <v>328</v>
      </c>
      <c r="D148" s="1035">
        <f>MEDIAN(D127:K127)</f>
        <v>4.1551499782352425E-2</v>
      </c>
      <c r="E148" s="99"/>
      <c r="F148" s="99"/>
      <c r="G148" s="99"/>
      <c r="H148" s="99"/>
      <c r="I148" s="99"/>
      <c r="J148" s="99"/>
      <c r="K148" s="99"/>
      <c r="L148" s="99"/>
      <c r="M148" s="99"/>
      <c r="N148" s="99"/>
      <c r="O148" s="99"/>
      <c r="P148" s="99"/>
      <c r="Q148" s="99"/>
      <c r="R148" s="99"/>
      <c r="S148" s="99"/>
      <c r="T148" s="99"/>
      <c r="U148" s="99"/>
    </row>
    <row r="149" spans="3:21" ht="15.75" x14ac:dyDescent="0.25">
      <c r="C149" s="888" t="s">
        <v>1201</v>
      </c>
      <c r="D149" s="1035">
        <f>SUMPRODUCT(D118:K118,D127:K127)/SUM(D118:K118)</f>
        <v>4.1161608200766461E-2</v>
      </c>
      <c r="E149" s="99"/>
      <c r="F149" s="99"/>
      <c r="G149" s="99"/>
      <c r="H149" s="99"/>
      <c r="I149" s="99"/>
      <c r="J149" s="99"/>
      <c r="K149" s="99"/>
      <c r="L149" s="99"/>
      <c r="M149" s="99"/>
      <c r="N149" s="99"/>
      <c r="O149" s="99"/>
      <c r="P149" s="99"/>
      <c r="Q149" s="99"/>
      <c r="R149" s="99"/>
      <c r="S149" s="99"/>
      <c r="T149" s="99"/>
      <c r="U149" s="99"/>
    </row>
    <row r="150" spans="3:21" ht="6.6" customHeight="1" thickBot="1" x14ac:dyDescent="0.3">
      <c r="C150" s="1588"/>
      <c r="D150" s="1588"/>
      <c r="E150" s="1588"/>
      <c r="F150" s="1588"/>
      <c r="G150" s="1588"/>
      <c r="H150" s="1588"/>
      <c r="I150" s="1588"/>
      <c r="J150" s="1588"/>
      <c r="K150" s="1588"/>
      <c r="L150" s="1588"/>
      <c r="M150" s="1588"/>
      <c r="N150" s="1588"/>
      <c r="O150" s="1588"/>
      <c r="P150" s="1588"/>
      <c r="Q150" s="1588"/>
      <c r="R150" s="1588"/>
      <c r="S150" s="1588"/>
      <c r="T150" s="1588"/>
      <c r="U150" s="1588"/>
    </row>
    <row r="151" spans="3:21" ht="15.75" thickTop="1" x14ac:dyDescent="0.25"/>
    <row r="152" spans="3:21" x14ac:dyDescent="0.25">
      <c r="C152" s="117" t="s">
        <v>874</v>
      </c>
      <c r="D152" s="1041">
        <f ca="1">+'DCF sonuc'!F28</f>
        <v>13135.935128846708</v>
      </c>
    </row>
    <row r="153" spans="3:21" x14ac:dyDescent="0.25">
      <c r="C153" s="117" t="s">
        <v>875</v>
      </c>
      <c r="D153" s="1041">
        <f>+'DCF sonuc'!F30</f>
        <v>13555</v>
      </c>
    </row>
  </sheetData>
  <mergeCells count="10">
    <mergeCell ref="T48:U48"/>
    <mergeCell ref="G55:G56"/>
    <mergeCell ref="T55:U55"/>
    <mergeCell ref="T62:U62"/>
    <mergeCell ref="G62:G63"/>
    <mergeCell ref="D25:E25"/>
    <mergeCell ref="D29:E29"/>
    <mergeCell ref="D33:E33"/>
    <mergeCell ref="C117:D117"/>
    <mergeCell ref="G48:G4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U52"/>
  <sheetViews>
    <sheetView zoomScale="73" zoomScaleNormal="73" workbookViewId="0">
      <selection activeCell="C4" sqref="C4:C6"/>
    </sheetView>
  </sheetViews>
  <sheetFormatPr defaultColWidth="9.140625" defaultRowHeight="15" x14ac:dyDescent="0.25"/>
  <cols>
    <col min="1" max="1" width="5.7109375" style="4" customWidth="1"/>
    <col min="2" max="2" width="4.5703125" style="4" customWidth="1"/>
    <col min="3" max="3" width="53.140625" style="4" customWidth="1"/>
    <col min="4" max="4" width="10" style="4" customWidth="1"/>
    <col min="5" max="5" width="9.85546875" style="4" bestFit="1" customWidth="1"/>
    <col min="6" max="6" width="9.5703125" style="4" bestFit="1" customWidth="1"/>
    <col min="7" max="7" width="11" style="4" bestFit="1" customWidth="1"/>
    <col min="8" max="8" width="14.28515625" style="4" bestFit="1" customWidth="1"/>
    <col min="9" max="10" width="10.42578125" style="4" bestFit="1" customWidth="1"/>
    <col min="11" max="11" width="11.5703125" style="4" bestFit="1" customWidth="1"/>
    <col min="12" max="13" width="9.28515625" style="4" customWidth="1"/>
    <col min="14" max="14" width="10" style="4" customWidth="1"/>
    <col min="15" max="15" width="12.28515625" style="4" customWidth="1"/>
    <col min="16" max="21" width="9.28515625" style="4" customWidth="1"/>
    <col min="22" max="16384" width="9.140625" style="4"/>
  </cols>
  <sheetData>
    <row r="2" spans="2:21" x14ac:dyDescent="0.25">
      <c r="D2" s="6"/>
      <c r="E2" s="6"/>
      <c r="F2" s="6"/>
      <c r="G2" s="6"/>
      <c r="H2" s="6"/>
      <c r="I2" s="314"/>
      <c r="J2" s="315" t="s">
        <v>232</v>
      </c>
      <c r="K2" s="316"/>
      <c r="M2" s="317"/>
      <c r="N2" s="315" t="s">
        <v>233</v>
      </c>
      <c r="O2" s="316"/>
      <c r="Q2" s="318"/>
      <c r="R2" s="315" t="s">
        <v>263</v>
      </c>
    </row>
    <row r="3" spans="2:21" x14ac:dyDescent="0.25">
      <c r="C3" s="1"/>
      <c r="D3" s="2"/>
      <c r="E3" s="2"/>
      <c r="F3" s="2"/>
      <c r="G3" s="2"/>
      <c r="H3" s="2"/>
      <c r="I3" s="2"/>
      <c r="J3" s="2"/>
      <c r="K3" s="2"/>
      <c r="L3" s="1"/>
      <c r="M3" s="1"/>
      <c r="N3" s="1"/>
      <c r="O3" s="485"/>
      <c r="P3" s="486"/>
      <c r="Q3" s="487"/>
      <c r="R3" s="485"/>
      <c r="S3" s="486"/>
      <c r="T3" s="487"/>
    </row>
    <row r="4" spans="2:21" ht="24" customHeight="1" thickBot="1" x14ac:dyDescent="0.4">
      <c r="B4" s="320"/>
      <c r="C4" s="1262" t="s">
        <v>1208</v>
      </c>
      <c r="D4" s="1263"/>
      <c r="E4" s="1263"/>
      <c r="F4" s="1263"/>
      <c r="G4" s="1263"/>
      <c r="H4" s="1263"/>
      <c r="I4" s="1263"/>
      <c r="J4" s="1263"/>
      <c r="K4" s="1263"/>
      <c r="L4" s="1264"/>
      <c r="M4" s="1264"/>
      <c r="N4" s="1264"/>
      <c r="O4" s="1265"/>
      <c r="P4" s="1266"/>
      <c r="Q4" s="1265"/>
      <c r="R4" s="1265"/>
      <c r="S4" s="1266"/>
      <c r="T4" s="1266"/>
      <c r="U4" s="1266"/>
    </row>
    <row r="5" spans="2:21" ht="7.15" customHeight="1" thickTop="1" x14ac:dyDescent="0.25"/>
    <row r="6" spans="2:21" ht="15" customHeight="1" thickBot="1" x14ac:dyDescent="0.3">
      <c r="C6" s="138"/>
      <c r="D6" s="301"/>
      <c r="E6" s="301"/>
      <c r="F6" s="301"/>
      <c r="G6" s="301"/>
      <c r="H6" s="301"/>
      <c r="I6" s="301"/>
      <c r="J6" s="301"/>
      <c r="K6" s="301"/>
      <c r="L6" s="301"/>
      <c r="M6" s="301"/>
      <c r="N6" s="301"/>
      <c r="O6" s="301"/>
      <c r="P6" s="301"/>
      <c r="Q6" s="301"/>
      <c r="R6" s="301"/>
      <c r="S6" s="301"/>
      <c r="T6" s="301"/>
      <c r="U6" s="301"/>
    </row>
    <row r="7" spans="2:21" s="319" customFormat="1" ht="19.5" thickBot="1" x14ac:dyDescent="0.35">
      <c r="B7" s="1280" t="s">
        <v>251</v>
      </c>
      <c r="C7" s="1281" t="s">
        <v>1343</v>
      </c>
      <c r="D7" s="1282"/>
      <c r="E7" s="1282"/>
      <c r="F7" s="1282"/>
      <c r="G7" s="1283"/>
      <c r="H7" s="1284"/>
      <c r="I7" s="1285"/>
      <c r="J7" s="1285"/>
      <c r="K7" s="1285"/>
      <c r="L7" s="1286"/>
      <c r="M7" s="1286"/>
      <c r="N7" s="1286"/>
      <c r="O7" s="1286"/>
      <c r="P7" s="1286"/>
      <c r="Q7" s="1286"/>
      <c r="R7" s="1286"/>
      <c r="S7" s="1286"/>
      <c r="T7" s="1286"/>
      <c r="U7" s="1287"/>
    </row>
    <row r="8" spans="2:21" s="730" customFormat="1" ht="15.75" x14ac:dyDescent="0.25">
      <c r="C8" s="725" t="s">
        <v>1156</v>
      </c>
      <c r="D8" s="872">
        <v>1</v>
      </c>
      <c r="E8" s="872">
        <f t="shared" ref="E8:K8" si="0">D8+1</f>
        <v>2</v>
      </c>
      <c r="F8" s="872">
        <f t="shared" si="0"/>
        <v>3</v>
      </c>
      <c r="G8" s="872">
        <f t="shared" si="0"/>
        <v>4</v>
      </c>
      <c r="H8" s="872">
        <f t="shared" si="0"/>
        <v>5</v>
      </c>
      <c r="I8" s="872">
        <f t="shared" si="0"/>
        <v>6</v>
      </c>
      <c r="J8" s="872">
        <f t="shared" si="0"/>
        <v>7</v>
      </c>
      <c r="K8" s="872">
        <f t="shared" si="0"/>
        <v>8</v>
      </c>
      <c r="L8" s="122"/>
      <c r="M8" s="122"/>
      <c r="N8" s="122"/>
      <c r="O8" s="122"/>
      <c r="P8" s="122"/>
      <c r="Q8" s="122"/>
      <c r="R8" s="122"/>
      <c r="S8" s="122"/>
      <c r="T8" s="122"/>
      <c r="U8" s="122"/>
    </row>
    <row r="9" spans="2:21" s="730" customFormat="1" ht="16.5" thickBot="1" x14ac:dyDescent="0.3">
      <c r="C9" s="873"/>
      <c r="D9" s="511" t="str">
        <f>Sales!D21</f>
        <v>2008</v>
      </c>
      <c r="E9" s="512" t="str">
        <f>Sales!E21</f>
        <v>2009</v>
      </c>
      <c r="F9" s="512" t="str">
        <f>Sales!F21</f>
        <v>2010</v>
      </c>
      <c r="G9" s="512" t="str">
        <f>Sales!G21</f>
        <v>2011</v>
      </c>
      <c r="H9" s="512" t="str">
        <f>Sales!H21</f>
        <v>2012</v>
      </c>
      <c r="I9" s="512" t="str">
        <f>Sales!I21</f>
        <v>2013</v>
      </c>
      <c r="J9" s="512" t="str">
        <f>Sales!J21</f>
        <v>2014</v>
      </c>
      <c r="K9" s="513" t="str">
        <f>Sales!K21</f>
        <v>2015</v>
      </c>
      <c r="L9" s="512">
        <f t="shared" ref="L9:U9" si="1">K9+1</f>
        <v>2016</v>
      </c>
      <c r="M9" s="512">
        <f t="shared" si="1"/>
        <v>2017</v>
      </c>
      <c r="N9" s="512">
        <f t="shared" si="1"/>
        <v>2018</v>
      </c>
      <c r="O9" s="512">
        <f t="shared" si="1"/>
        <v>2019</v>
      </c>
      <c r="P9" s="512">
        <f t="shared" si="1"/>
        <v>2020</v>
      </c>
      <c r="Q9" s="512">
        <f t="shared" si="1"/>
        <v>2021</v>
      </c>
      <c r="R9" s="512">
        <f t="shared" si="1"/>
        <v>2022</v>
      </c>
      <c r="S9" s="512">
        <f t="shared" si="1"/>
        <v>2023</v>
      </c>
      <c r="T9" s="512">
        <f t="shared" si="1"/>
        <v>2024</v>
      </c>
      <c r="U9" s="513">
        <f t="shared" si="1"/>
        <v>2025</v>
      </c>
    </row>
    <row r="10" spans="2:21" s="730" customFormat="1" ht="15.75" x14ac:dyDescent="0.25">
      <c r="C10" s="874" t="s">
        <v>238</v>
      </c>
      <c r="D10" s="875">
        <f>+Mali!C56</f>
        <v>6775.5379999999996</v>
      </c>
      <c r="E10" s="876">
        <f>+Mali!D56</f>
        <v>6591.8950000000004</v>
      </c>
      <c r="F10" s="876">
        <f>+Mali!E56</f>
        <v>6936.42</v>
      </c>
      <c r="G10" s="876">
        <f>+Mali!F56</f>
        <v>8437.2389999999996</v>
      </c>
      <c r="H10" s="876">
        <f>+Mali!G56</f>
        <v>10556.861000000001</v>
      </c>
      <c r="I10" s="876">
        <f>+Mali!H56</f>
        <v>11097.710999999999</v>
      </c>
      <c r="J10" s="876">
        <f>+Mali!I56</f>
        <v>12514.032999999999</v>
      </c>
      <c r="K10" s="877">
        <f>+Mali!J56</f>
        <v>14166.1</v>
      </c>
      <c r="L10" s="878">
        <f>+Sales!E154</f>
        <v>15887.936510951396</v>
      </c>
      <c r="M10" s="878">
        <f>+Sales!F154</f>
        <v>17657.550911746246</v>
      </c>
      <c r="N10" s="878">
        <f>+Sales!G154</f>
        <v>19444.673690891348</v>
      </c>
      <c r="O10" s="878">
        <f>+Sales!H154</f>
        <v>21416.837089600605</v>
      </c>
      <c r="P10" s="878">
        <f>+Sales!I154</f>
        <v>23593.578072421064</v>
      </c>
      <c r="Q10" s="878">
        <f>+Sales!J154</f>
        <v>25938.916071454521</v>
      </c>
      <c r="R10" s="878">
        <f>+Sales!K154</f>
        <v>28081.168950086354</v>
      </c>
      <c r="S10" s="878">
        <f>+Sales!L154</f>
        <v>30213.732173147568</v>
      </c>
      <c r="T10" s="878">
        <f>+Sales!M154</f>
        <v>32300.616337178635</v>
      </c>
      <c r="U10" s="878">
        <f>+Sales!N154</f>
        <v>34533.888102892684</v>
      </c>
    </row>
    <row r="11" spans="2:21" s="730" customFormat="1" ht="15.75" x14ac:dyDescent="0.25">
      <c r="C11" s="874" t="s">
        <v>1211</v>
      </c>
      <c r="D11" s="875">
        <f>+Mali!C16</f>
        <v>675.83299999999997</v>
      </c>
      <c r="E11" s="876">
        <f>+Mali!D16</f>
        <v>531.327</v>
      </c>
      <c r="F11" s="876">
        <f>+Mali!E16</f>
        <v>800.76300000000003</v>
      </c>
      <c r="G11" s="876">
        <f>+Mali!F16</f>
        <v>658.39700000000005</v>
      </c>
      <c r="H11" s="876">
        <f>+Mali!G16</f>
        <v>826.45399999999995</v>
      </c>
      <c r="I11" s="876">
        <f>+Mali!H16</f>
        <v>737.92</v>
      </c>
      <c r="J11" s="876">
        <f>+Mali!I16</f>
        <v>899.72799999999995</v>
      </c>
      <c r="K11" s="876">
        <f>+Mali!J16</f>
        <v>749.05700000000002</v>
      </c>
      <c r="L11" s="1592">
        <f>+PBL!F12</f>
        <v>749.05700000000002</v>
      </c>
      <c r="M11" s="1592">
        <f>+PBL!G12</f>
        <v>749.05700000000002</v>
      </c>
      <c r="N11" s="1592">
        <f>+PBL!H12</f>
        <v>749.05700000000002</v>
      </c>
      <c r="O11" s="1592">
        <f>+PBL!I12</f>
        <v>749.05700000000002</v>
      </c>
      <c r="P11" s="1592">
        <f>+PBL!J12</f>
        <v>749.05700000000002</v>
      </c>
      <c r="Q11" s="1592">
        <f>+PBL!K12</f>
        <v>749.05700000000002</v>
      </c>
      <c r="R11" s="1592">
        <f>+PBL!L12</f>
        <v>749.05700000000002</v>
      </c>
      <c r="S11" s="1592">
        <f>+PBL!M12</f>
        <v>749.05700000000002</v>
      </c>
      <c r="T11" s="1592">
        <f>+PBL!N12</f>
        <v>749.05700000000002</v>
      </c>
      <c r="U11" s="1592">
        <f>+PBL!O12</f>
        <v>749.05700000000002</v>
      </c>
    </row>
    <row r="12" spans="2:21" s="730" customFormat="1" ht="15.75" x14ac:dyDescent="0.25">
      <c r="C12" s="874" t="s">
        <v>1214</v>
      </c>
      <c r="D12" s="875">
        <f>+Mali!C5</f>
        <v>415.58600000000001</v>
      </c>
      <c r="E12" s="876">
        <f>+Mali!D5</f>
        <v>904.73400000000004</v>
      </c>
      <c r="F12" s="876">
        <f>+Mali!E5</f>
        <v>1317.1659999999999</v>
      </c>
      <c r="G12" s="876">
        <f>+Mali!F5</f>
        <v>1173.8889999999999</v>
      </c>
      <c r="H12" s="876">
        <f>+Mali!G5</f>
        <v>1740.789</v>
      </c>
      <c r="I12" s="876">
        <f>+Mali!H5</f>
        <v>1266.575</v>
      </c>
      <c r="J12" s="876">
        <f>+Mali!I5</f>
        <v>1621.221</v>
      </c>
      <c r="K12" s="877">
        <f>+Mali!J5</f>
        <v>2167.627</v>
      </c>
      <c r="L12" s="1592"/>
      <c r="M12" s="1593"/>
      <c r="N12" s="1593"/>
      <c r="O12" s="1593"/>
      <c r="P12" s="1593"/>
      <c r="Q12" s="1593"/>
      <c r="R12" s="1593"/>
      <c r="S12" s="1593"/>
      <c r="T12" s="1593"/>
      <c r="U12" s="1593"/>
    </row>
    <row r="13" spans="2:21" s="730" customFormat="1" ht="15.75" x14ac:dyDescent="0.25">
      <c r="C13" s="874"/>
      <c r="D13" s="875"/>
      <c r="E13" s="876"/>
      <c r="F13" s="876"/>
      <c r="G13" s="876"/>
      <c r="H13" s="876"/>
      <c r="I13" s="876"/>
      <c r="J13" s="876"/>
      <c r="K13" s="877"/>
      <c r="L13" s="1592"/>
      <c r="M13" s="1593"/>
      <c r="N13" s="1593"/>
      <c r="O13" s="1593"/>
      <c r="P13" s="1593"/>
      <c r="Q13" s="1593"/>
      <c r="R13" s="1593"/>
      <c r="S13" s="1593"/>
      <c r="T13" s="1593"/>
      <c r="U13" s="1593"/>
    </row>
    <row r="14" spans="2:21" s="730" customFormat="1" ht="15.75" x14ac:dyDescent="0.25">
      <c r="C14" s="874" t="s">
        <v>110</v>
      </c>
      <c r="D14" s="875">
        <f>+Mali!C68</f>
        <v>44.933999999999997</v>
      </c>
      <c r="E14" s="876">
        <f>+Mali!D68</f>
        <v>184.96600000000001</v>
      </c>
      <c r="F14" s="876">
        <f>+Mali!E68</f>
        <v>130.416</v>
      </c>
      <c r="G14" s="876">
        <f>+Mali!F68</f>
        <v>60.194000000000003</v>
      </c>
      <c r="H14" s="876">
        <f>+Mali!G68</f>
        <v>69.706000000000003</v>
      </c>
      <c r="I14" s="876">
        <f>+Mali!H68</f>
        <v>461.61399999999998</v>
      </c>
      <c r="J14" s="876">
        <f>+Mali!I68</f>
        <v>216.137</v>
      </c>
      <c r="K14" s="877">
        <f>+Mali!J68</f>
        <v>471.267</v>
      </c>
      <c r="L14" s="1028"/>
      <c r="M14" s="1028"/>
      <c r="N14" s="1028"/>
      <c r="O14" s="1028"/>
      <c r="P14" s="1028"/>
      <c r="Q14" s="1028"/>
      <c r="R14" s="1028"/>
      <c r="S14" s="1028"/>
      <c r="T14" s="1028"/>
      <c r="U14" s="1028"/>
    </row>
    <row r="15" spans="2:21" s="730" customFormat="1" ht="15.75" x14ac:dyDescent="0.25">
      <c r="C15" s="874" t="s">
        <v>1209</v>
      </c>
      <c r="D15" s="875">
        <f>+Mali!C69</f>
        <v>44.972000000000001</v>
      </c>
      <c r="E15" s="876">
        <f>+Mali!D69</f>
        <v>130.31299999999999</v>
      </c>
      <c r="F15" s="876">
        <f>+Mali!E69</f>
        <v>58.341000000000001</v>
      </c>
      <c r="G15" s="876">
        <f>+Mali!F69</f>
        <v>72.856999999999999</v>
      </c>
      <c r="H15" s="876">
        <f>+Mali!G69</f>
        <v>82.58</v>
      </c>
      <c r="I15" s="876">
        <f>+Mali!H69</f>
        <v>186.41499999999999</v>
      </c>
      <c r="J15" s="876">
        <f>+Mali!I69</f>
        <v>235.089</v>
      </c>
      <c r="K15" s="877">
        <f>+Mali!J69</f>
        <v>275.14800000000002</v>
      </c>
      <c r="L15" s="1028"/>
      <c r="M15" s="1028"/>
      <c r="N15" s="1028"/>
      <c r="O15" s="1028"/>
      <c r="P15" s="1028"/>
      <c r="Q15" s="1028"/>
      <c r="R15" s="1028"/>
      <c r="S15" s="1028"/>
      <c r="T15" s="1028"/>
      <c r="U15" s="1028"/>
    </row>
    <row r="16" spans="2:21" s="730" customFormat="1" ht="15.75" x14ac:dyDescent="0.25">
      <c r="C16" s="874" t="s">
        <v>1212</v>
      </c>
      <c r="D16" s="875">
        <f>+Mali!C66</f>
        <v>12.473000000000001</v>
      </c>
      <c r="E16" s="876">
        <f>+Mali!D66</f>
        <v>5.5670000000000002</v>
      </c>
      <c r="F16" s="876">
        <f>+Mali!E66</f>
        <v>11.907</v>
      </c>
      <c r="G16" s="876">
        <f>+Mali!F66</f>
        <v>28.378</v>
      </c>
      <c r="H16" s="876">
        <f>+Mali!G66</f>
        <v>34.551000000000002</v>
      </c>
      <c r="I16" s="876">
        <f>+Mali!H66</f>
        <v>33.869</v>
      </c>
      <c r="J16" s="876">
        <f>+Mali!I66</f>
        <v>33.042999999999999</v>
      </c>
      <c r="K16" s="877">
        <f>+Mali!J66</f>
        <v>39.478999999999999</v>
      </c>
      <c r="L16" s="1028"/>
      <c r="M16" s="1028"/>
      <c r="N16" s="1028"/>
      <c r="O16" s="1028"/>
      <c r="P16" s="1028"/>
      <c r="Q16" s="1028"/>
      <c r="R16" s="1028"/>
      <c r="S16" s="1028"/>
      <c r="T16" s="1028"/>
      <c r="U16" s="1028"/>
    </row>
    <row r="17" spans="3:21" s="730" customFormat="1" ht="15.75" x14ac:dyDescent="0.25">
      <c r="C17" s="874"/>
      <c r="D17" s="1602"/>
      <c r="E17" s="1603"/>
      <c r="F17" s="1603"/>
      <c r="G17" s="1603"/>
      <c r="H17" s="1603"/>
      <c r="I17" s="1603"/>
      <c r="J17" s="1603"/>
      <c r="K17" s="1604"/>
      <c r="L17" s="877"/>
      <c r="M17" s="877"/>
      <c r="N17" s="877"/>
      <c r="O17" s="877"/>
      <c r="P17" s="877"/>
      <c r="Q17" s="877"/>
      <c r="R17" s="877"/>
      <c r="S17" s="877"/>
      <c r="T17" s="877"/>
      <c r="U17" s="877"/>
    </row>
    <row r="18" spans="3:21" s="730" customFormat="1" ht="15.75" x14ac:dyDescent="0.25">
      <c r="C18" s="874" t="s">
        <v>1210</v>
      </c>
      <c r="D18" s="1594">
        <f t="shared" ref="D18:K18" si="2">+D14/D10</f>
        <v>6.6317980948523937E-3</v>
      </c>
      <c r="E18" s="1595">
        <f t="shared" si="2"/>
        <v>2.8059609565989747E-2</v>
      </c>
      <c r="F18" s="1595">
        <f t="shared" si="2"/>
        <v>1.8801629659103689E-2</v>
      </c>
      <c r="G18" s="1595">
        <f t="shared" si="2"/>
        <v>7.1343243921382343E-3</v>
      </c>
      <c r="H18" s="1595">
        <f t="shared" si="2"/>
        <v>6.6029097096191756E-3</v>
      </c>
      <c r="I18" s="1595">
        <f t="shared" si="2"/>
        <v>4.1595424497898714E-2</v>
      </c>
      <c r="J18" s="1595">
        <f t="shared" si="2"/>
        <v>1.7271570244380849E-2</v>
      </c>
      <c r="K18" s="1596">
        <f t="shared" si="2"/>
        <v>3.3267236571815816E-2</v>
      </c>
      <c r="L18" s="877"/>
      <c r="M18" s="877"/>
      <c r="N18" s="877"/>
      <c r="O18" s="877"/>
      <c r="P18" s="877"/>
      <c r="Q18" s="877"/>
      <c r="R18" s="877"/>
      <c r="S18" s="877"/>
      <c r="T18" s="877"/>
      <c r="U18" s="877"/>
    </row>
    <row r="19" spans="3:21" s="730" customFormat="1" ht="15.75" x14ac:dyDescent="0.25">
      <c r="C19" s="874" t="s">
        <v>1209</v>
      </c>
      <c r="D19" s="1594">
        <f t="shared" ref="D19:K20" si="3">+D15/D10</f>
        <v>6.6374065055793364E-3</v>
      </c>
      <c r="E19" s="1595">
        <f t="shared" si="3"/>
        <v>1.9768670465776531E-2</v>
      </c>
      <c r="F19" s="1595">
        <f t="shared" si="3"/>
        <v>8.4108228740474196E-3</v>
      </c>
      <c r="G19" s="1595">
        <f t="shared" si="3"/>
        <v>8.6351708183210179E-3</v>
      </c>
      <c r="H19" s="1595">
        <f t="shared" si="3"/>
        <v>7.8224009959020954E-3</v>
      </c>
      <c r="I19" s="1595">
        <f t="shared" si="3"/>
        <v>1.6797608083324572E-2</v>
      </c>
      <c r="J19" s="1595">
        <f t="shared" si="3"/>
        <v>1.8786030051223295E-2</v>
      </c>
      <c r="K19" s="1596">
        <f t="shared" si="3"/>
        <v>1.9422988684253253E-2</v>
      </c>
      <c r="L19" s="877"/>
      <c r="M19" s="877"/>
      <c r="N19" s="877"/>
      <c r="O19" s="877"/>
      <c r="P19" s="877"/>
      <c r="Q19" s="877"/>
      <c r="R19" s="877"/>
      <c r="S19" s="877"/>
      <c r="T19" s="877"/>
      <c r="U19" s="877"/>
    </row>
    <row r="20" spans="3:21" s="730" customFormat="1" ht="16.5" thickBot="1" x14ac:dyDescent="0.3">
      <c r="C20" s="1597" t="s">
        <v>1213</v>
      </c>
      <c r="D20" s="1598">
        <f t="shared" si="3"/>
        <v>1.8455742764854632E-2</v>
      </c>
      <c r="E20" s="1599">
        <f t="shared" si="3"/>
        <v>1.0477540196526809E-2</v>
      </c>
      <c r="F20" s="1599">
        <f t="shared" si="3"/>
        <v>1.4869568149377531E-2</v>
      </c>
      <c r="G20" s="1599">
        <f t="shared" si="3"/>
        <v>4.3101654472909201E-2</v>
      </c>
      <c r="H20" s="1599">
        <f t="shared" si="3"/>
        <v>4.1806319528975601E-2</v>
      </c>
      <c r="I20" s="1599">
        <f t="shared" si="3"/>
        <v>4.5897929314830881E-2</v>
      </c>
      <c r="J20" s="1599">
        <f t="shared" si="3"/>
        <v>3.6725543719879787E-2</v>
      </c>
      <c r="K20" s="1600">
        <f t="shared" si="3"/>
        <v>5.2704934337440272E-2</v>
      </c>
      <c r="L20" s="1601"/>
      <c r="M20" s="1601"/>
      <c r="N20" s="1601"/>
      <c r="O20" s="1601"/>
      <c r="P20" s="1601"/>
      <c r="Q20" s="1601"/>
      <c r="R20" s="1601"/>
      <c r="S20" s="1601"/>
      <c r="T20" s="1601"/>
      <c r="U20" s="1601"/>
    </row>
    <row r="21" spans="3:21" s="730" customFormat="1" ht="15.75" x14ac:dyDescent="0.25">
      <c r="C21" s="122"/>
      <c r="D21" s="122"/>
      <c r="E21" s="122"/>
      <c r="F21" s="122"/>
      <c r="G21" s="122"/>
      <c r="H21" s="122"/>
      <c r="I21" s="122"/>
      <c r="J21" s="122"/>
      <c r="K21" s="122"/>
      <c r="L21" s="122"/>
      <c r="M21" s="122"/>
      <c r="N21" s="122"/>
      <c r="O21" s="122"/>
      <c r="P21" s="122"/>
      <c r="Q21" s="122"/>
      <c r="R21" s="122"/>
      <c r="S21" s="122"/>
      <c r="T21" s="122"/>
      <c r="U21" s="122"/>
    </row>
    <row r="22" spans="3:21" s="730" customFormat="1" ht="15.75" x14ac:dyDescent="0.25">
      <c r="C22" s="1033" t="s">
        <v>1215</v>
      </c>
      <c r="D22" s="1034"/>
      <c r="E22" s="890"/>
      <c r="F22" s="890"/>
      <c r="G22" s="890"/>
      <c r="H22" s="890"/>
      <c r="I22" s="890"/>
      <c r="J22" s="890"/>
      <c r="K22" s="890"/>
      <c r="L22" s="890"/>
      <c r="M22" s="890"/>
      <c r="N22" s="890"/>
      <c r="O22" s="890"/>
      <c r="P22" s="890"/>
      <c r="Q22" s="890"/>
      <c r="R22" s="890"/>
      <c r="S22" s="122"/>
      <c r="T22" s="122"/>
      <c r="U22" s="122"/>
    </row>
    <row r="23" spans="3:21" s="730" customFormat="1" ht="15.6" customHeight="1" thickBot="1" x14ac:dyDescent="0.3">
      <c r="C23" s="888" t="s">
        <v>1216</v>
      </c>
      <c r="D23" s="1035">
        <f>MIN(D18:K18)</f>
        <v>6.6029097096191756E-3</v>
      </c>
      <c r="E23" s="890"/>
      <c r="F23" s="890"/>
      <c r="G23" s="890"/>
      <c r="H23" s="890"/>
      <c r="I23" s="891">
        <f>K9+1</f>
        <v>2016</v>
      </c>
      <c r="J23" s="891">
        <f t="shared" ref="J23:R23" si="4">I23+1</f>
        <v>2017</v>
      </c>
      <c r="K23" s="891">
        <f t="shared" si="4"/>
        <v>2018</v>
      </c>
      <c r="L23" s="891">
        <f t="shared" si="4"/>
        <v>2019</v>
      </c>
      <c r="M23" s="891">
        <f t="shared" si="4"/>
        <v>2020</v>
      </c>
      <c r="N23" s="891">
        <f t="shared" si="4"/>
        <v>2021</v>
      </c>
      <c r="O23" s="891">
        <f t="shared" si="4"/>
        <v>2022</v>
      </c>
      <c r="P23" s="891">
        <f t="shared" si="4"/>
        <v>2023</v>
      </c>
      <c r="Q23" s="891">
        <f t="shared" si="4"/>
        <v>2024</v>
      </c>
      <c r="R23" s="891">
        <f t="shared" si="4"/>
        <v>2025</v>
      </c>
      <c r="S23" s="892" t="s">
        <v>267</v>
      </c>
      <c r="T23" s="122"/>
      <c r="U23" s="122"/>
    </row>
    <row r="24" spans="3:21" s="730" customFormat="1" ht="16.899999999999999" customHeight="1" x14ac:dyDescent="0.25">
      <c r="C24" s="888" t="s">
        <v>1217</v>
      </c>
      <c r="D24" s="1035">
        <f>MAX(D18:K18)</f>
        <v>4.1595424497898714E-2</v>
      </c>
      <c r="E24" s="890"/>
      <c r="F24" s="890"/>
      <c r="G24" s="2105" t="s">
        <v>1006</v>
      </c>
      <c r="H24" s="893" t="s">
        <v>1227</v>
      </c>
      <c r="I24" s="894">
        <f>+K18</f>
        <v>3.3267236571815816E-2</v>
      </c>
      <c r="J24" s="895">
        <f>I24</f>
        <v>3.3267236571815816E-2</v>
      </c>
      <c r="K24" s="895">
        <f>J24</f>
        <v>3.3267236571815816E-2</v>
      </c>
      <c r="L24" s="895">
        <f>K24</f>
        <v>3.3267236571815816E-2</v>
      </c>
      <c r="M24" s="895">
        <f>L24</f>
        <v>3.3267236571815816E-2</v>
      </c>
      <c r="N24" s="895">
        <f>M24-($M$24-$R$24)/5</f>
        <v>3.1154451388526967E-2</v>
      </c>
      <c r="O24" s="895">
        <f>N24-($M$24-$R$24)/5</f>
        <v>2.9041666205238119E-2</v>
      </c>
      <c r="P24" s="895">
        <f>O24-($M$24-$R$24)/5</f>
        <v>2.6928881021949271E-2</v>
      </c>
      <c r="Q24" s="895">
        <f>P24-($M$24-$R$24)/5</f>
        <v>2.4816095838660422E-2</v>
      </c>
      <c r="R24" s="895">
        <f>+D27</f>
        <v>2.2703310655371574E-2</v>
      </c>
      <c r="S24" s="896"/>
      <c r="T24" s="2103" t="s">
        <v>285</v>
      </c>
      <c r="U24" s="2104"/>
    </row>
    <row r="25" spans="3:21" s="730" customFormat="1" ht="16.5" thickBot="1" x14ac:dyDescent="0.3">
      <c r="C25" s="888" t="s">
        <v>1218</v>
      </c>
      <c r="D25" s="1035">
        <f>AVERAGE(D18:K18)</f>
        <v>1.9920562841974829E-2</v>
      </c>
      <c r="E25" s="890"/>
      <c r="F25" s="890"/>
      <c r="G25" s="2106"/>
      <c r="H25" s="897" t="s">
        <v>1228</v>
      </c>
      <c r="I25" s="898">
        <f t="shared" ref="I25:R25" si="5">I24*L10</f>
        <v>528.54774254781012</v>
      </c>
      <c r="J25" s="899">
        <f t="shared" si="5"/>
        <v>587.4179234599444</v>
      </c>
      <c r="K25" s="899">
        <f t="shared" si="5"/>
        <v>646.87055973664542</v>
      </c>
      <c r="L25" s="899">
        <f t="shared" si="5"/>
        <v>712.47898607978266</v>
      </c>
      <c r="M25" s="899">
        <f t="shared" si="5"/>
        <v>784.89314331083767</v>
      </c>
      <c r="N25" s="899">
        <f t="shared" si="5"/>
        <v>808.11269981921077</v>
      </c>
      <c r="O25" s="899">
        <f t="shared" si="5"/>
        <v>815.52393530130485</v>
      </c>
      <c r="P25" s="899">
        <f t="shared" si="5"/>
        <v>813.6219989197316</v>
      </c>
      <c r="Q25" s="899">
        <f t="shared" si="5"/>
        <v>801.57519067122553</v>
      </c>
      <c r="R25" s="899">
        <f t="shared" si="5"/>
        <v>784.03358973781314</v>
      </c>
      <c r="S25" s="900"/>
      <c r="T25" s="122"/>
      <c r="U25" s="122"/>
    </row>
    <row r="26" spans="3:21" s="730" customFormat="1" ht="15.75" x14ac:dyDescent="0.25">
      <c r="C26" s="888" t="s">
        <v>1219</v>
      </c>
      <c r="D26" s="1035">
        <f>MEDIAN(D18:K18)</f>
        <v>1.8036599951742269E-2</v>
      </c>
      <c r="E26" s="890"/>
      <c r="F26" s="890"/>
      <c r="G26" s="890"/>
      <c r="H26" s="890"/>
      <c r="I26" s="890"/>
      <c r="J26" s="890"/>
      <c r="K26" s="890"/>
      <c r="L26" s="890"/>
      <c r="M26" s="890"/>
      <c r="N26" s="890"/>
      <c r="O26" s="890"/>
      <c r="P26" s="890"/>
      <c r="Q26" s="890"/>
      <c r="R26" s="890"/>
      <c r="S26" s="122"/>
      <c r="T26" s="122"/>
      <c r="U26" s="122"/>
    </row>
    <row r="27" spans="3:21" s="730" customFormat="1" ht="15.75" x14ac:dyDescent="0.25">
      <c r="C27" s="888" t="s">
        <v>1220</v>
      </c>
      <c r="D27" s="1035">
        <f>SUMPRODUCT(D18:K18,D8:K8)/SUM(D8:K8)</f>
        <v>2.2703310655371574E-2</v>
      </c>
      <c r="E27" s="949"/>
      <c r="F27" s="942"/>
      <c r="G27" s="942"/>
      <c r="H27" s="942"/>
      <c r="I27" s="942"/>
      <c r="J27" s="942"/>
      <c r="K27" s="942"/>
      <c r="L27" s="942"/>
      <c r="M27" s="942"/>
      <c r="N27" s="942"/>
      <c r="O27" s="1036"/>
    </row>
    <row r="28" spans="3:21" s="730" customFormat="1" ht="15.75" x14ac:dyDescent="0.25">
      <c r="C28" s="725"/>
      <c r="D28" s="1037"/>
      <c r="E28" s="1038"/>
      <c r="F28" s="1039"/>
      <c r="G28" s="1039"/>
      <c r="H28" s="1039"/>
      <c r="I28" s="1039"/>
      <c r="J28" s="1039"/>
      <c r="K28" s="1039"/>
      <c r="L28" s="1039"/>
      <c r="M28" s="1039"/>
      <c r="N28" s="1039"/>
      <c r="O28" s="1036"/>
    </row>
    <row r="29" spans="3:21" s="730" customFormat="1" ht="15.75" x14ac:dyDescent="0.25">
      <c r="C29" s="1033" t="s">
        <v>1221</v>
      </c>
      <c r="D29" s="1034"/>
      <c r="E29" s="890"/>
      <c r="F29" s="890"/>
      <c r="G29" s="890"/>
      <c r="H29" s="890"/>
      <c r="I29" s="890"/>
      <c r="J29" s="890"/>
      <c r="K29" s="890"/>
      <c r="L29" s="890"/>
      <c r="M29" s="890"/>
      <c r="N29" s="890"/>
      <c r="O29" s="890"/>
      <c r="P29" s="890"/>
      <c r="Q29" s="890"/>
      <c r="R29" s="890"/>
      <c r="S29" s="122"/>
      <c r="T29" s="122"/>
      <c r="U29" s="122"/>
    </row>
    <row r="30" spans="3:21" s="730" customFormat="1" ht="16.5" thickBot="1" x14ac:dyDescent="0.3">
      <c r="C30" s="888" t="s">
        <v>1222</v>
      </c>
      <c r="D30" s="1035">
        <f>MIN(D19:K19)</f>
        <v>6.6374065055793364E-3</v>
      </c>
      <c r="E30" s="890"/>
      <c r="F30" s="890"/>
      <c r="G30" s="890"/>
      <c r="H30" s="890"/>
      <c r="I30" s="891">
        <f>I23</f>
        <v>2016</v>
      </c>
      <c r="J30" s="891">
        <f t="shared" ref="J30:R30" si="6">I30+1</f>
        <v>2017</v>
      </c>
      <c r="K30" s="891">
        <f t="shared" si="6"/>
        <v>2018</v>
      </c>
      <c r="L30" s="891">
        <f t="shared" si="6"/>
        <v>2019</v>
      </c>
      <c r="M30" s="891">
        <f t="shared" si="6"/>
        <v>2020</v>
      </c>
      <c r="N30" s="891">
        <f t="shared" si="6"/>
        <v>2021</v>
      </c>
      <c r="O30" s="891">
        <f t="shared" si="6"/>
        <v>2022</v>
      </c>
      <c r="P30" s="891">
        <f t="shared" si="6"/>
        <v>2023</v>
      </c>
      <c r="Q30" s="891">
        <f t="shared" si="6"/>
        <v>2024</v>
      </c>
      <c r="R30" s="891">
        <f t="shared" si="6"/>
        <v>2025</v>
      </c>
      <c r="S30" s="892" t="s">
        <v>267</v>
      </c>
      <c r="T30" s="122"/>
      <c r="U30" s="122"/>
    </row>
    <row r="31" spans="3:21" s="730" customFormat="1" ht="15.75" x14ac:dyDescent="0.25">
      <c r="C31" s="888" t="s">
        <v>1223</v>
      </c>
      <c r="D31" s="1035">
        <f>MAX(D19:K19)</f>
        <v>1.9768670465776531E-2</v>
      </c>
      <c r="E31" s="890"/>
      <c r="F31" s="890"/>
      <c r="G31" s="2105" t="s">
        <v>1006</v>
      </c>
      <c r="H31" s="893" t="s">
        <v>1229</v>
      </c>
      <c r="I31" s="894">
        <f>+K19</f>
        <v>1.9422988684253253E-2</v>
      </c>
      <c r="J31" s="895">
        <f>I31</f>
        <v>1.9422988684253253E-2</v>
      </c>
      <c r="K31" s="895">
        <f>J31</f>
        <v>1.9422988684253253E-2</v>
      </c>
      <c r="L31" s="895">
        <f>K31</f>
        <v>1.9422988684253253E-2</v>
      </c>
      <c r="M31" s="895">
        <f>L31</f>
        <v>1.9422988684253253E-2</v>
      </c>
      <c r="N31" s="895">
        <f>M31-($M$31-$R$31)/5</f>
        <v>1.8498011350983747E-2</v>
      </c>
      <c r="O31" s="895">
        <f>N31-($M$31-$R$31)/5</f>
        <v>1.7573034017714241E-2</v>
      </c>
      <c r="P31" s="895">
        <f>O31-($M$31-$R$31)/5</f>
        <v>1.6648056684444735E-2</v>
      </c>
      <c r="Q31" s="895">
        <f>P31-($M$31-$R$31)/5</f>
        <v>1.5723079351175229E-2</v>
      </c>
      <c r="R31" s="895">
        <f>+D34</f>
        <v>1.4798102017905716E-2</v>
      </c>
      <c r="S31" s="896"/>
      <c r="T31" s="2103" t="s">
        <v>285</v>
      </c>
      <c r="U31" s="2104"/>
    </row>
    <row r="32" spans="3:21" s="730" customFormat="1" ht="16.5" thickBot="1" x14ac:dyDescent="0.3">
      <c r="C32" s="888" t="s">
        <v>1224</v>
      </c>
      <c r="D32" s="1035">
        <f>AVERAGE(D19:K19)</f>
        <v>1.3285137309803441E-2</v>
      </c>
      <c r="E32" s="890"/>
      <c r="F32" s="890"/>
      <c r="G32" s="2106"/>
      <c r="H32" s="897" t="s">
        <v>1230</v>
      </c>
      <c r="I32" s="898">
        <f t="shared" ref="I32:R32" si="7">I31*L10</f>
        <v>308.59121106834311</v>
      </c>
      <c r="J32" s="899">
        <f t="shared" si="7"/>
        <v>342.96241155047306</v>
      </c>
      <c r="K32" s="899">
        <f t="shared" si="7"/>
        <v>377.6736770671796</v>
      </c>
      <c r="L32" s="899">
        <f t="shared" si="7"/>
        <v>415.97898444380792</v>
      </c>
      <c r="M32" s="899">
        <f t="shared" si="7"/>
        <v>458.25779992168003</v>
      </c>
      <c r="N32" s="899">
        <f t="shared" si="7"/>
        <v>479.81836392198051</v>
      </c>
      <c r="O32" s="899">
        <f t="shared" si="7"/>
        <v>493.47133721704841</v>
      </c>
      <c r="P32" s="899">
        <f t="shared" si="7"/>
        <v>502.9999258671923</v>
      </c>
      <c r="Q32" s="899">
        <f t="shared" si="7"/>
        <v>507.86515376132667</v>
      </c>
      <c r="R32" s="899">
        <f t="shared" si="7"/>
        <v>511.03599922154643</v>
      </c>
      <c r="S32" s="900"/>
      <c r="T32" s="122"/>
      <c r="U32" s="122"/>
    </row>
    <row r="33" spans="3:21" s="730" customFormat="1" ht="15.75" x14ac:dyDescent="0.25">
      <c r="C33" s="888" t="s">
        <v>1225</v>
      </c>
      <c r="D33" s="1035">
        <f>MEDIAN(D19:K19)</f>
        <v>1.2716389450822794E-2</v>
      </c>
      <c r="E33" s="890"/>
      <c r="F33" s="890"/>
      <c r="G33" s="890"/>
      <c r="H33" s="890"/>
      <c r="I33" s="890"/>
      <c r="J33" s="890"/>
      <c r="K33" s="890"/>
      <c r="L33" s="890"/>
      <c r="M33" s="890"/>
      <c r="N33" s="890"/>
      <c r="O33" s="890"/>
      <c r="P33" s="890"/>
      <c r="Q33" s="890"/>
      <c r="R33" s="890"/>
      <c r="S33" s="122"/>
      <c r="T33" s="122"/>
      <c r="U33" s="122"/>
    </row>
    <row r="34" spans="3:21" s="730" customFormat="1" ht="15" customHeight="1" x14ac:dyDescent="0.25">
      <c r="C34" s="888" t="s">
        <v>1226</v>
      </c>
      <c r="D34" s="1035">
        <f>SUMPRODUCT(D19:K19,D8:K8)/SUM(D8:K8)</f>
        <v>1.4798102017905716E-2</v>
      </c>
      <c r="E34" s="949"/>
      <c r="F34" s="942"/>
      <c r="G34" s="942"/>
      <c r="H34" s="942"/>
      <c r="I34" s="942"/>
      <c r="J34" s="942"/>
      <c r="K34" s="942"/>
      <c r="L34" s="942"/>
      <c r="M34" s="942"/>
      <c r="N34" s="942"/>
      <c r="O34" s="1036"/>
    </row>
    <row r="35" spans="3:21" s="730" customFormat="1" ht="15.75" x14ac:dyDescent="0.25">
      <c r="C35" s="502"/>
      <c r="D35" s="503"/>
      <c r="E35" s="504"/>
      <c r="F35" s="504"/>
      <c r="G35" s="504"/>
      <c r="H35" s="504"/>
      <c r="I35" s="504"/>
      <c r="J35" s="504"/>
      <c r="K35" s="504"/>
      <c r="L35" s="504"/>
      <c r="M35" s="504"/>
      <c r="N35" s="504"/>
    </row>
    <row r="36" spans="3:21" s="730" customFormat="1" ht="15.75" x14ac:dyDescent="0.25">
      <c r="C36" s="1033" t="s">
        <v>1231</v>
      </c>
      <c r="D36" s="1034"/>
      <c r="E36" s="890"/>
      <c r="F36" s="890"/>
      <c r="G36" s="890"/>
      <c r="H36" s="890"/>
      <c r="I36" s="890"/>
      <c r="J36" s="890"/>
      <c r="K36" s="890"/>
      <c r="L36" s="890"/>
      <c r="M36" s="890"/>
      <c r="N36" s="890"/>
      <c r="O36" s="890"/>
      <c r="P36" s="890"/>
      <c r="Q36" s="890"/>
      <c r="R36" s="890"/>
      <c r="S36" s="122"/>
      <c r="T36" s="122"/>
      <c r="U36" s="122"/>
    </row>
    <row r="37" spans="3:21" s="730" customFormat="1" ht="16.5" thickBot="1" x14ac:dyDescent="0.3">
      <c r="C37" s="888" t="s">
        <v>1232</v>
      </c>
      <c r="D37" s="1035">
        <f>MIN(D20:K20)</f>
        <v>1.0477540196526809E-2</v>
      </c>
      <c r="E37" s="890"/>
      <c r="F37" s="890"/>
      <c r="G37" s="890"/>
      <c r="H37" s="890"/>
      <c r="I37" s="891">
        <f>I30</f>
        <v>2016</v>
      </c>
      <c r="J37" s="891">
        <f t="shared" ref="J37:R37" si="8">I37+1</f>
        <v>2017</v>
      </c>
      <c r="K37" s="891">
        <f t="shared" si="8"/>
        <v>2018</v>
      </c>
      <c r="L37" s="891">
        <f t="shared" si="8"/>
        <v>2019</v>
      </c>
      <c r="M37" s="891">
        <f t="shared" si="8"/>
        <v>2020</v>
      </c>
      <c r="N37" s="891">
        <f t="shared" si="8"/>
        <v>2021</v>
      </c>
      <c r="O37" s="891">
        <f t="shared" si="8"/>
        <v>2022</v>
      </c>
      <c r="P37" s="891">
        <f t="shared" si="8"/>
        <v>2023</v>
      </c>
      <c r="Q37" s="891">
        <f t="shared" si="8"/>
        <v>2024</v>
      </c>
      <c r="R37" s="891">
        <f t="shared" si="8"/>
        <v>2025</v>
      </c>
      <c r="S37" s="892" t="s">
        <v>267</v>
      </c>
      <c r="T37" s="122"/>
      <c r="U37" s="122"/>
    </row>
    <row r="38" spans="3:21" s="730" customFormat="1" ht="15.75" x14ac:dyDescent="0.25">
      <c r="C38" s="888" t="s">
        <v>1233</v>
      </c>
      <c r="D38" s="1035">
        <f>MAX(D20:K20)</f>
        <v>5.2704934337440272E-2</v>
      </c>
      <c r="E38" s="890"/>
      <c r="F38" s="890"/>
      <c r="G38" s="2105" t="s">
        <v>1006</v>
      </c>
      <c r="H38" s="893" t="s">
        <v>1236</v>
      </c>
      <c r="I38" s="894">
        <f>+K20</f>
        <v>5.2704934337440272E-2</v>
      </c>
      <c r="J38" s="895">
        <f>I38</f>
        <v>5.2704934337440272E-2</v>
      </c>
      <c r="K38" s="895">
        <f>J38</f>
        <v>5.2704934337440272E-2</v>
      </c>
      <c r="L38" s="895">
        <f>K38</f>
        <v>5.2704934337440272E-2</v>
      </c>
      <c r="M38" s="895">
        <f>L38</f>
        <v>5.2704934337440272E-2</v>
      </c>
      <c r="N38" s="895">
        <f>M38-($M$38-$R$38)/5</f>
        <v>5.0050411913120117E-2</v>
      </c>
      <c r="O38" s="895">
        <f>N38-($M$38-$R$38)/5</f>
        <v>4.7395889488799962E-2</v>
      </c>
      <c r="P38" s="895">
        <f>O38-($M$38-$R$38)/5</f>
        <v>4.4741367064479808E-2</v>
      </c>
      <c r="Q38" s="895">
        <f>P38-($M$38-$R$38)/5</f>
        <v>4.2086844640159653E-2</v>
      </c>
      <c r="R38" s="895">
        <f>+D41</f>
        <v>3.9432322215839491E-2</v>
      </c>
      <c r="S38" s="896"/>
      <c r="T38" s="2103" t="s">
        <v>285</v>
      </c>
      <c r="U38" s="2104"/>
    </row>
    <row r="39" spans="3:21" s="730" customFormat="1" ht="16.5" thickBot="1" x14ac:dyDescent="0.3">
      <c r="C39" s="888" t="s">
        <v>1234</v>
      </c>
      <c r="D39" s="1035">
        <f>AVERAGE(D20:K20)</f>
        <v>3.300490406059934E-2</v>
      </c>
      <c r="E39" s="890"/>
      <c r="F39" s="890"/>
      <c r="G39" s="2106"/>
      <c r="H39" s="897" t="s">
        <v>1237</v>
      </c>
      <c r="I39" s="898">
        <f>I38*L11</f>
        <v>39.478999999999999</v>
      </c>
      <c r="J39" s="899">
        <f t="shared" ref="J39:R39" si="9">J38*M11</f>
        <v>39.478999999999999</v>
      </c>
      <c r="K39" s="899">
        <f t="shared" si="9"/>
        <v>39.478999999999999</v>
      </c>
      <c r="L39" s="899">
        <f t="shared" si="9"/>
        <v>39.478999999999999</v>
      </c>
      <c r="M39" s="899">
        <f t="shared" si="9"/>
        <v>39.478999999999999</v>
      </c>
      <c r="N39" s="899">
        <f t="shared" si="9"/>
        <v>37.490611396406017</v>
      </c>
      <c r="O39" s="899">
        <f t="shared" si="9"/>
        <v>35.502222792812034</v>
      </c>
      <c r="P39" s="899">
        <f t="shared" si="9"/>
        <v>33.513834189218052</v>
      </c>
      <c r="Q39" s="899">
        <f t="shared" si="9"/>
        <v>31.52544558562407</v>
      </c>
      <c r="R39" s="899">
        <f t="shared" si="9"/>
        <v>29.537056982030084</v>
      </c>
      <c r="S39" s="900"/>
      <c r="T39" s="122"/>
      <c r="U39" s="122"/>
    </row>
    <row r="40" spans="3:21" s="730" customFormat="1" ht="15.75" x14ac:dyDescent="0.25">
      <c r="C40" s="888" t="s">
        <v>1235</v>
      </c>
      <c r="D40" s="1035">
        <f>MEDIAN(D20:K20)</f>
        <v>3.9265931624427694E-2</v>
      </c>
      <c r="E40" s="890"/>
      <c r="F40" s="890"/>
      <c r="G40" s="890"/>
      <c r="H40" s="890"/>
      <c r="I40" s="890"/>
      <c r="J40" s="890"/>
      <c r="K40" s="890"/>
      <c r="L40" s="890"/>
      <c r="M40" s="890"/>
      <c r="N40" s="890"/>
      <c r="O40" s="890"/>
      <c r="P40" s="890"/>
      <c r="Q40" s="890"/>
      <c r="R40" s="890"/>
      <c r="S40" s="122"/>
      <c r="T40" s="122"/>
      <c r="U40" s="122"/>
    </row>
    <row r="41" spans="3:21" s="730" customFormat="1" ht="15.75" x14ac:dyDescent="0.25">
      <c r="C41" s="888" t="s">
        <v>1238</v>
      </c>
      <c r="D41" s="1035">
        <f>SUMPRODUCT(D20:K20,D8:K8)/SUM(D8:K8)</f>
        <v>3.9432322215839491E-2</v>
      </c>
      <c r="E41" s="949"/>
      <c r="F41" s="942"/>
      <c r="G41" s="942"/>
      <c r="H41" s="4"/>
      <c r="I41" s="4"/>
      <c r="J41" s="4"/>
      <c r="K41" s="4"/>
      <c r="L41" s="4"/>
      <c r="M41" s="4"/>
      <c r="N41" s="4"/>
      <c r="O41" s="4"/>
      <c r="P41" s="4"/>
      <c r="Q41" s="4"/>
      <c r="R41" s="4"/>
      <c r="S41" s="4"/>
    </row>
    <row r="42" spans="3:21" s="99" customFormat="1" x14ac:dyDescent="0.25">
      <c r="C42" s="241"/>
      <c r="D42" s="501"/>
      <c r="E42" s="505"/>
      <c r="F42" s="505"/>
      <c r="G42" s="505"/>
      <c r="H42" s="4"/>
      <c r="I42" s="4"/>
      <c r="J42" s="4"/>
      <c r="K42" s="4"/>
      <c r="L42" s="4"/>
      <c r="M42" s="4"/>
      <c r="N42" s="4"/>
      <c r="O42" s="4"/>
      <c r="P42" s="4"/>
      <c r="Q42" s="4"/>
      <c r="R42" s="4"/>
      <c r="S42" s="4"/>
    </row>
    <row r="43" spans="3:21" s="122" customFormat="1" ht="15.75" x14ac:dyDescent="0.25">
      <c r="C43" s="1608" t="s">
        <v>1239</v>
      </c>
      <c r="D43" s="1609" t="s">
        <v>1240</v>
      </c>
      <c r="E43" s="1610">
        <f>+Opex!L119</f>
        <v>2016</v>
      </c>
      <c r="F43" s="1609">
        <f>+Opex!M119</f>
        <v>2017</v>
      </c>
      <c r="G43" s="1609">
        <f>+Opex!N119</f>
        <v>2018</v>
      </c>
      <c r="H43" s="1609">
        <f>+Opex!O119</f>
        <v>2019</v>
      </c>
      <c r="I43" s="1609">
        <f>+Opex!P119</f>
        <v>2020</v>
      </c>
      <c r="J43" s="1609">
        <f>+Opex!Q119</f>
        <v>2021</v>
      </c>
      <c r="K43" s="1609">
        <f>+Opex!R119</f>
        <v>2022</v>
      </c>
      <c r="L43" s="1609">
        <f>+Opex!S119</f>
        <v>2023</v>
      </c>
      <c r="M43" s="1608">
        <f>+Opex!T119</f>
        <v>2024</v>
      </c>
      <c r="N43" s="1608">
        <f>+Opex!U119</f>
        <v>2025</v>
      </c>
    </row>
    <row r="44" spans="3:21" s="122" customFormat="1" ht="15.75" x14ac:dyDescent="0.25">
      <c r="C44" s="1605" t="s">
        <v>110</v>
      </c>
      <c r="D44" s="1606">
        <f>+K14</f>
        <v>471.267</v>
      </c>
      <c r="E44" s="1607">
        <f>+I25</f>
        <v>528.54774254781012</v>
      </c>
      <c r="F44" s="1607">
        <f t="shared" ref="F44:N44" si="10">+J25</f>
        <v>587.4179234599444</v>
      </c>
      <c r="G44" s="1607">
        <f t="shared" si="10"/>
        <v>646.87055973664542</v>
      </c>
      <c r="H44" s="1607">
        <f t="shared" si="10"/>
        <v>712.47898607978266</v>
      </c>
      <c r="I44" s="1607">
        <f t="shared" si="10"/>
        <v>784.89314331083767</v>
      </c>
      <c r="J44" s="1607">
        <f t="shared" si="10"/>
        <v>808.11269981921077</v>
      </c>
      <c r="K44" s="1607">
        <f t="shared" si="10"/>
        <v>815.52393530130485</v>
      </c>
      <c r="L44" s="1607">
        <f t="shared" si="10"/>
        <v>813.6219989197316</v>
      </c>
      <c r="M44" s="1607">
        <f t="shared" si="10"/>
        <v>801.57519067122553</v>
      </c>
      <c r="N44" s="1607">
        <f t="shared" si="10"/>
        <v>784.03358973781314</v>
      </c>
    </row>
    <row r="45" spans="3:21" s="122" customFormat="1" ht="15.75" x14ac:dyDescent="0.25">
      <c r="C45" s="1605" t="s">
        <v>1209</v>
      </c>
      <c r="D45" s="1606">
        <f t="shared" ref="D45:D46" si="11">+K15</f>
        <v>275.14800000000002</v>
      </c>
      <c r="E45" s="1607">
        <f>+I32</f>
        <v>308.59121106834311</v>
      </c>
      <c r="F45" s="1607">
        <f t="shared" ref="F45:N45" si="12">+J32</f>
        <v>342.96241155047306</v>
      </c>
      <c r="G45" s="1607">
        <f t="shared" si="12"/>
        <v>377.6736770671796</v>
      </c>
      <c r="H45" s="1607">
        <f t="shared" si="12"/>
        <v>415.97898444380792</v>
      </c>
      <c r="I45" s="1607">
        <f t="shared" si="12"/>
        <v>458.25779992168003</v>
      </c>
      <c r="J45" s="1607">
        <f t="shared" si="12"/>
        <v>479.81836392198051</v>
      </c>
      <c r="K45" s="1607">
        <f t="shared" si="12"/>
        <v>493.47133721704841</v>
      </c>
      <c r="L45" s="1607">
        <f t="shared" si="12"/>
        <v>502.9999258671923</v>
      </c>
      <c r="M45" s="1607">
        <f t="shared" si="12"/>
        <v>507.86515376132667</v>
      </c>
      <c r="N45" s="1607">
        <f t="shared" si="12"/>
        <v>511.03599922154643</v>
      </c>
    </row>
    <row r="46" spans="3:21" s="122" customFormat="1" ht="15.75" x14ac:dyDescent="0.25">
      <c r="C46" s="1605" t="s">
        <v>1212</v>
      </c>
      <c r="D46" s="1606">
        <f t="shared" si="11"/>
        <v>39.478999999999999</v>
      </c>
      <c r="E46" s="1607">
        <f>+I39</f>
        <v>39.478999999999999</v>
      </c>
      <c r="F46" s="1607">
        <f t="shared" ref="F46:N46" si="13">+J39</f>
        <v>39.478999999999999</v>
      </c>
      <c r="G46" s="1607">
        <f t="shared" si="13"/>
        <v>39.478999999999999</v>
      </c>
      <c r="H46" s="1607">
        <f t="shared" si="13"/>
        <v>39.478999999999999</v>
      </c>
      <c r="I46" s="1607">
        <f t="shared" si="13"/>
        <v>39.478999999999999</v>
      </c>
      <c r="J46" s="1607">
        <f t="shared" si="13"/>
        <v>37.490611396406017</v>
      </c>
      <c r="K46" s="1607">
        <f t="shared" si="13"/>
        <v>35.502222792812034</v>
      </c>
      <c r="L46" s="1607">
        <f t="shared" si="13"/>
        <v>33.513834189218052</v>
      </c>
      <c r="M46" s="1607">
        <f t="shared" si="13"/>
        <v>31.52544558562407</v>
      </c>
      <c r="N46" s="1607">
        <f t="shared" si="13"/>
        <v>29.537056982030084</v>
      </c>
    </row>
    <row r="51" spans="3:4" x14ac:dyDescent="0.25">
      <c r="C51" s="117" t="s">
        <v>874</v>
      </c>
      <c r="D51" s="1041">
        <f ca="1">+'DCF sonuc'!F28</f>
        <v>13135.935128846708</v>
      </c>
    </row>
    <row r="52" spans="3:4" x14ac:dyDescent="0.25">
      <c r="C52" s="117" t="s">
        <v>875</v>
      </c>
      <c r="D52" s="1041">
        <f>+'DCF sonuc'!F30</f>
        <v>13555</v>
      </c>
    </row>
  </sheetData>
  <mergeCells count="6">
    <mergeCell ref="G38:G39"/>
    <mergeCell ref="T38:U38"/>
    <mergeCell ref="G24:G25"/>
    <mergeCell ref="T24:U24"/>
    <mergeCell ref="G31:G32"/>
    <mergeCell ref="T31:U3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ayfa13">
    <tabColor theme="1"/>
  </sheetPr>
  <dimension ref="B2:W244"/>
  <sheetViews>
    <sheetView zoomScale="80" zoomScaleNormal="80" workbookViewId="0">
      <selection activeCell="E4" sqref="E4"/>
    </sheetView>
  </sheetViews>
  <sheetFormatPr defaultColWidth="9.140625" defaultRowHeight="15" outlineLevelRow="1" x14ac:dyDescent="0.25"/>
  <cols>
    <col min="1" max="1" width="5" style="4" customWidth="1"/>
    <col min="2" max="2" width="3.5703125" style="4" customWidth="1"/>
    <col min="3" max="3" width="33.85546875" style="1" customWidth="1"/>
    <col min="4" max="6" width="10.5703125" style="140" customWidth="1"/>
    <col min="7" max="7" width="11.5703125" style="1" customWidth="1"/>
    <col min="8" max="9" width="9.42578125" style="140" customWidth="1"/>
    <col min="10" max="17" width="9.42578125" style="55" customWidth="1"/>
    <col min="18" max="18" width="8.7109375" style="55" bestFit="1" customWidth="1"/>
    <col min="19" max="21" width="8.7109375" style="4" bestFit="1" customWidth="1"/>
    <col min="22" max="22" width="9.140625" style="4"/>
    <col min="23" max="23" width="9.28515625" style="4" bestFit="1" customWidth="1"/>
    <col min="24" max="16384" width="9.140625" style="4"/>
  </cols>
  <sheetData>
    <row r="2" spans="2:21" x14ac:dyDescent="0.25">
      <c r="J2" s="314"/>
      <c r="K2" s="315" t="s">
        <v>232</v>
      </c>
      <c r="L2" s="316"/>
      <c r="M2" s="4"/>
      <c r="N2" s="317"/>
      <c r="O2" s="315" t="s">
        <v>233</v>
      </c>
      <c r="P2" s="316"/>
      <c r="Q2" s="4"/>
      <c r="R2" s="318"/>
      <c r="S2" s="315" t="s">
        <v>263</v>
      </c>
    </row>
    <row r="3" spans="2:21" x14ac:dyDescent="0.25">
      <c r="C3" s="4"/>
      <c r="D3" s="55"/>
      <c r="E3" s="55"/>
      <c r="F3" s="55"/>
      <c r="G3" s="4"/>
      <c r="H3" s="4"/>
      <c r="I3" s="4"/>
      <c r="J3" s="4"/>
      <c r="K3" s="4"/>
      <c r="L3" s="4"/>
      <c r="M3" s="4"/>
      <c r="N3" s="4"/>
      <c r="O3" s="4"/>
      <c r="P3" s="4"/>
      <c r="Q3" s="4"/>
      <c r="R3" s="4"/>
    </row>
    <row r="4" spans="2:21" s="1171" customFormat="1" ht="20.25" customHeight="1" x14ac:dyDescent="0.35">
      <c r="B4" s="1315"/>
      <c r="C4" s="1316" t="s">
        <v>995</v>
      </c>
      <c r="D4" s="1317"/>
      <c r="E4" s="1317"/>
      <c r="F4" s="1317"/>
      <c r="G4" s="1318"/>
      <c r="H4" s="1318"/>
      <c r="I4" s="1318"/>
      <c r="J4" s="1318"/>
      <c r="K4" s="1318"/>
      <c r="L4" s="1319"/>
      <c r="M4" s="1319"/>
      <c r="N4" s="1319"/>
      <c r="O4" s="1320"/>
      <c r="P4" s="1321"/>
      <c r="Q4" s="1320"/>
      <c r="R4" s="1320"/>
      <c r="S4" s="1321"/>
      <c r="T4" s="1321"/>
      <c r="U4" s="1322"/>
    </row>
    <row r="5" spans="2:21" ht="9.6" customHeight="1" thickBot="1" x14ac:dyDescent="0.3">
      <c r="C5" s="4"/>
      <c r="D5" s="55"/>
      <c r="E5" s="55"/>
      <c r="F5" s="55"/>
      <c r="G5" s="4"/>
      <c r="H5" s="4"/>
      <c r="I5" s="4"/>
      <c r="J5" s="4"/>
      <c r="K5" s="4"/>
      <c r="L5" s="4"/>
      <c r="M5" s="4"/>
      <c r="N5" s="4"/>
      <c r="O5" s="4"/>
      <c r="P5" s="4"/>
      <c r="Q5" s="4"/>
      <c r="R5" s="4"/>
    </row>
    <row r="6" spans="2:21" ht="18.75" customHeight="1" thickBot="1" x14ac:dyDescent="0.3">
      <c r="C6" s="1365" t="s">
        <v>817</v>
      </c>
      <c r="D6" s="1366" t="str">
        <f>+Mali!H3</f>
        <v>2013/12</v>
      </c>
      <c r="E6" s="1366" t="str">
        <f>+Mali!I3</f>
        <v>2014/12</v>
      </c>
      <c r="F6" s="1366" t="str">
        <f>+Mali!J3</f>
        <v>2015/12</v>
      </c>
      <c r="G6" s="1367"/>
      <c r="H6" s="1368">
        <f>+L23</f>
        <v>2016</v>
      </c>
      <c r="I6" s="1368">
        <f t="shared" ref="I6:Q6" si="0">+M23</f>
        <v>2017</v>
      </c>
      <c r="J6" s="1368">
        <f t="shared" si="0"/>
        <v>2018</v>
      </c>
      <c r="K6" s="1368">
        <f t="shared" si="0"/>
        <v>2019</v>
      </c>
      <c r="L6" s="1368">
        <f t="shared" si="0"/>
        <v>2020</v>
      </c>
      <c r="M6" s="1368">
        <f t="shared" si="0"/>
        <v>2021</v>
      </c>
      <c r="N6" s="1368">
        <f t="shared" si="0"/>
        <v>2022</v>
      </c>
      <c r="O6" s="1368">
        <f t="shared" si="0"/>
        <v>2023</v>
      </c>
      <c r="P6" s="1368">
        <f t="shared" si="0"/>
        <v>2024</v>
      </c>
      <c r="Q6" s="1369">
        <f t="shared" si="0"/>
        <v>2025</v>
      </c>
      <c r="R6" s="4"/>
    </row>
    <row r="7" spans="2:21" ht="7.15" customHeight="1" thickBot="1" x14ac:dyDescent="0.3">
      <c r="C7" s="4"/>
      <c r="D7" s="689"/>
      <c r="E7" s="689"/>
      <c r="F7" s="689"/>
      <c r="G7" s="4"/>
      <c r="H7" s="6"/>
      <c r="I7" s="6"/>
      <c r="J7" s="6"/>
      <c r="K7" s="6"/>
      <c r="L7" s="6"/>
      <c r="M7" s="6"/>
      <c r="N7" s="6"/>
      <c r="O7" s="6"/>
      <c r="P7" s="6"/>
      <c r="Q7" s="6"/>
      <c r="R7" s="4"/>
    </row>
    <row r="8" spans="2:21" ht="13.15" customHeight="1" x14ac:dyDescent="0.25">
      <c r="C8" s="1346" t="s">
        <v>980</v>
      </c>
      <c r="D8" s="1347"/>
      <c r="E8" s="1348"/>
      <c r="F8" s="1348"/>
      <c r="G8" s="1370" t="s">
        <v>270</v>
      </c>
      <c r="H8" s="1349"/>
      <c r="I8" s="1350"/>
      <c r="J8" s="1349"/>
      <c r="K8" s="1349"/>
      <c r="L8" s="1349"/>
      <c r="M8" s="1349"/>
      <c r="N8" s="1349"/>
      <c r="O8" s="1349"/>
      <c r="P8" s="1349"/>
      <c r="Q8" s="1351"/>
      <c r="R8" s="4"/>
    </row>
    <row r="9" spans="2:21" ht="14.45" customHeight="1" x14ac:dyDescent="0.25">
      <c r="C9" s="1352" t="str">
        <f>+OMali!B7</f>
        <v>Kısa Vadeli Ticari Alacaklar</v>
      </c>
      <c r="D9" s="538">
        <f>+OMali!H7</f>
        <v>4182.1400000000003</v>
      </c>
      <c r="E9" s="538">
        <f>+OMali!I7</f>
        <v>4433.8980000000001</v>
      </c>
      <c r="F9" s="538">
        <f>+OMali!J7</f>
        <v>4790.5249999999996</v>
      </c>
      <c r="G9" s="1371">
        <v>3</v>
      </c>
      <c r="H9" s="71">
        <f>IF($G$9=1,D103,IF($G$9=2,D196,IF($G$9=3,L213,IF($G$9=4,$F$9,$F$9))))</f>
        <v>5449.456774167943</v>
      </c>
      <c r="I9" s="71">
        <f t="shared" ref="I9:Q9" si="1">IF($G$9=1,E103,IF($G$9=2,E196,IF($G$9=3,M213,IF($G$9=4,$F$9,$F$9))))</f>
        <v>6034.6707123616898</v>
      </c>
      <c r="J9" s="71">
        <f t="shared" si="1"/>
        <v>6625.6746955737945</v>
      </c>
      <c r="K9" s="71">
        <f t="shared" si="1"/>
        <v>7277.8718684730484</v>
      </c>
      <c r="L9" s="71">
        <f t="shared" si="1"/>
        <v>7997.7231323483393</v>
      </c>
      <c r="M9" s="71">
        <f t="shared" si="1"/>
        <v>8773.3296634623039</v>
      </c>
      <c r="N9" s="71">
        <f t="shared" si="1"/>
        <v>9481.775663420216</v>
      </c>
      <c r="O9" s="71">
        <f t="shared" si="1"/>
        <v>10187.017280833727</v>
      </c>
      <c r="P9" s="71">
        <f t="shared" si="1"/>
        <v>10877.152770033088</v>
      </c>
      <c r="Q9" s="1353">
        <f t="shared" si="1"/>
        <v>11615.698842264072</v>
      </c>
      <c r="R9" s="4"/>
    </row>
    <row r="10" spans="2:21" ht="14.45" customHeight="1" x14ac:dyDescent="0.25">
      <c r="C10" s="1354" t="str">
        <f>+OMali!B8</f>
        <v>Stoklar</v>
      </c>
      <c r="D10" s="538">
        <f>+OMali!H8</f>
        <v>1988.373</v>
      </c>
      <c r="E10" s="538">
        <f>+OMali!I8</f>
        <v>2124.9459999999999</v>
      </c>
      <c r="F10" s="538">
        <f>+OMali!J8</f>
        <v>2140.0569999999998</v>
      </c>
      <c r="G10" s="1371">
        <f>+G9</f>
        <v>3</v>
      </c>
      <c r="H10" s="71">
        <f>IF($G$10=1,D104,IF($G$10=2,D197,IF($G$10=3,L214,IF($G$10=4,$F$10,$F$10))))</f>
        <v>2567.249699254553</v>
      </c>
      <c r="I10" s="71">
        <f t="shared" ref="I10:Q10" si="2">IF($G$10=1,E104,IF($G$10=2,E197,IF($G$10=3,M214,IF($G$10=4,$F$10,$F$10))))</f>
        <v>2848.6953626220038</v>
      </c>
      <c r="J10" s="71">
        <f t="shared" si="2"/>
        <v>3132.9256197162358</v>
      </c>
      <c r="K10" s="71">
        <f t="shared" si="2"/>
        <v>3446.5853841086491</v>
      </c>
      <c r="L10" s="71">
        <f t="shared" si="2"/>
        <v>3792.781882969557</v>
      </c>
      <c r="M10" s="71">
        <f t="shared" si="2"/>
        <v>4165.792640941675</v>
      </c>
      <c r="N10" s="71">
        <f t="shared" si="2"/>
        <v>4506.5040310934237</v>
      </c>
      <c r="O10" s="71">
        <f t="shared" si="2"/>
        <v>4845.6743445345346</v>
      </c>
      <c r="P10" s="71">
        <f t="shared" si="2"/>
        <v>5177.5797006691464</v>
      </c>
      <c r="Q10" s="1353">
        <f t="shared" si="2"/>
        <v>5532.7670529527113</v>
      </c>
      <c r="R10" s="4"/>
    </row>
    <row r="11" spans="2:21" ht="14.45" customHeight="1" x14ac:dyDescent="0.25">
      <c r="C11" s="1354" t="str">
        <f>+OMali!B9</f>
        <v>Diğer Dönen Varlıklar</v>
      </c>
      <c r="D11" s="538">
        <f>+OMali!H9</f>
        <v>222.03000000000065</v>
      </c>
      <c r="E11" s="538">
        <f>+OMali!I9</f>
        <v>291.6919999999991</v>
      </c>
      <c r="F11" s="538">
        <f>+OMali!J9</f>
        <v>308.04300000000148</v>
      </c>
      <c r="G11" s="1371">
        <f>+G10</f>
        <v>3</v>
      </c>
      <c r="H11" s="71">
        <f>IF($G$11=1,D105,IF($G$11=2,D198,IF($G$11=3,L215,IF($G$11=4,$F$11,$F$11))))</f>
        <v>210.58012243548387</v>
      </c>
      <c r="I11" s="71">
        <f t="shared" ref="I11:Q11" si="3">IF($G$11=1,E105,IF($G$11=2,E198,IF($G$11=3,M215,IF($G$11=4,$F$11,$F$11))))</f>
        <v>243.06865716292009</v>
      </c>
      <c r="J11" s="71">
        <f t="shared" si="3"/>
        <v>275.87863002840368</v>
      </c>
      <c r="K11" s="71">
        <f t="shared" si="3"/>
        <v>312.0857828625833</v>
      </c>
      <c r="L11" s="71">
        <f t="shared" si="3"/>
        <v>352.04879682835548</v>
      </c>
      <c r="M11" s="71">
        <f t="shared" si="3"/>
        <v>396.76945902035465</v>
      </c>
      <c r="N11" s="71">
        <f t="shared" si="3"/>
        <v>438.03624327596805</v>
      </c>
      <c r="O11" s="71">
        <f t="shared" si="3"/>
        <v>479.39785408165818</v>
      </c>
      <c r="P11" s="71">
        <f t="shared" si="3"/>
        <v>520.18246941209395</v>
      </c>
      <c r="Q11" s="1353">
        <f t="shared" si="3"/>
        <v>563.9690239763313</v>
      </c>
      <c r="R11" s="4"/>
    </row>
    <row r="12" spans="2:21" ht="14.45" customHeight="1" x14ac:dyDescent="0.25">
      <c r="C12" s="1354" t="s">
        <v>1004</v>
      </c>
      <c r="D12" s="538">
        <f>IF(Duz!I29&gt;0,Duz!I29,0)</f>
        <v>0</v>
      </c>
      <c r="E12" s="538">
        <f>IF(Duz!J29&gt;0,Duz!J29,0)</f>
        <v>0</v>
      </c>
      <c r="F12" s="538">
        <f>IF(Duz!K29&gt;0,Duz!K29,0)</f>
        <v>49.012</v>
      </c>
      <c r="G12" s="1371">
        <f>+G11</f>
        <v>3</v>
      </c>
      <c r="H12" s="71">
        <f>IF($G$12=1,D106,IF($G$12=2,D199,IF($G$12=3,L216,IF($G$12=4,$F$12,$F$12))))</f>
        <v>30.088656488305858</v>
      </c>
      <c r="I12" s="71">
        <f t="shared" ref="I12:Q12" si="4">IF($G$12=1,E106,IF($G$12=2,E199,IF($G$12=3,M216,IF($G$12=4,$F$12,$F$12))))</f>
        <v>36.86950491580923</v>
      </c>
      <c r="J12" s="71">
        <f t="shared" si="4"/>
        <v>43.717442342899815</v>
      </c>
      <c r="K12" s="71">
        <f t="shared" si="4"/>
        <v>51.274422595157432</v>
      </c>
      <c r="L12" s="71">
        <f t="shared" si="4"/>
        <v>59.615307854573544</v>
      </c>
      <c r="M12" s="71">
        <f t="shared" si="4"/>
        <v>68.602226968458851</v>
      </c>
      <c r="N12" s="71">
        <f t="shared" si="4"/>
        <v>76.810959931335134</v>
      </c>
      <c r="O12" s="71">
        <f t="shared" si="4"/>
        <v>84.982563853156151</v>
      </c>
      <c r="P12" s="71">
        <f t="shared" si="4"/>
        <v>92.97913372492917</v>
      </c>
      <c r="Q12" s="1353">
        <f t="shared" si="4"/>
        <v>101.53663491497818</v>
      </c>
      <c r="R12" s="4"/>
    </row>
    <row r="13" spans="2:21" s="7" customFormat="1" ht="15.6" customHeight="1" x14ac:dyDescent="0.25">
      <c r="C13" s="1355" t="s">
        <v>1002</v>
      </c>
      <c r="D13" s="846">
        <f>SUM(D9:D11)</f>
        <v>6392.5430000000015</v>
      </c>
      <c r="E13" s="846">
        <f>SUM(E9:E11)</f>
        <v>6850.5359999999991</v>
      </c>
      <c r="F13" s="846">
        <f>SUM(F9:F11)</f>
        <v>7238.6250000000009</v>
      </c>
      <c r="G13" s="1276"/>
      <c r="H13" s="8">
        <f t="shared" ref="H13" si="5">SUM(H9:H11)</f>
        <v>8227.2865958579805</v>
      </c>
      <c r="I13" s="8">
        <f t="shared" ref="I13:Q13" si="6">SUM(I9:I11)</f>
        <v>9126.4347321466121</v>
      </c>
      <c r="J13" s="8">
        <f t="shared" si="6"/>
        <v>10034.478945318435</v>
      </c>
      <c r="K13" s="8">
        <f t="shared" si="6"/>
        <v>11036.543035444281</v>
      </c>
      <c r="L13" s="8">
        <f t="shared" si="6"/>
        <v>12142.553812146252</v>
      </c>
      <c r="M13" s="8">
        <f t="shared" si="6"/>
        <v>13335.891763424335</v>
      </c>
      <c r="N13" s="8">
        <f t="shared" si="6"/>
        <v>14426.315937789608</v>
      </c>
      <c r="O13" s="8">
        <f t="shared" si="6"/>
        <v>15512.08947944992</v>
      </c>
      <c r="P13" s="8">
        <f t="shared" si="6"/>
        <v>16574.91494011433</v>
      </c>
      <c r="Q13" s="1356">
        <f t="shared" si="6"/>
        <v>17712.434919193111</v>
      </c>
    </row>
    <row r="14" spans="2:21" ht="14.45" customHeight="1" x14ac:dyDescent="0.25">
      <c r="C14" s="1354" t="str">
        <f>+OMali!B20</f>
        <v>Ticari Borçlar</v>
      </c>
      <c r="D14" s="538">
        <f>+Mali!H27</f>
        <v>1644.9</v>
      </c>
      <c r="E14" s="538">
        <f>+Mali!I27</f>
        <v>1781.442</v>
      </c>
      <c r="F14" s="538">
        <f>+Mali!J27</f>
        <v>2090.3939999999998</v>
      </c>
      <c r="G14" s="1371">
        <f>+G11</f>
        <v>3</v>
      </c>
      <c r="H14" s="71">
        <f>IF($G$14=1,D108,IF($G$14=2,D201,IF($G$14=3,L217,IF($G$14=4,$F$14,$F$14))))</f>
        <v>2338.1991477750616</v>
      </c>
      <c r="I14" s="71">
        <f t="shared" ref="I14:Q14" si="7">IF($G$14=1,E108,IF($G$14=2,E201,IF($G$14=3,M217,IF($G$14=4,$F$14,$F$14))))</f>
        <v>2632.7416076506242</v>
      </c>
      <c r="J14" s="71">
        <f t="shared" si="7"/>
        <v>2930.1982395771147</v>
      </c>
      <c r="K14" s="71">
        <f t="shared" si="7"/>
        <v>3258.4538519135995</v>
      </c>
      <c r="L14" s="71">
        <f t="shared" si="7"/>
        <v>3620.7602635837957</v>
      </c>
      <c r="M14" s="71">
        <f t="shared" si="7"/>
        <v>4011.1287094806312</v>
      </c>
      <c r="N14" s="71">
        <f t="shared" si="7"/>
        <v>4367.6947683148655</v>
      </c>
      <c r="O14" s="71">
        <f t="shared" si="7"/>
        <v>4722.6480379528575</v>
      </c>
      <c r="P14" s="71">
        <f t="shared" si="7"/>
        <v>5069.998282657567</v>
      </c>
      <c r="Q14" s="1353">
        <f t="shared" si="7"/>
        <v>5441.7139282516573</v>
      </c>
      <c r="R14" s="4"/>
    </row>
    <row r="15" spans="2:21" ht="14.45" customHeight="1" x14ac:dyDescent="0.25">
      <c r="C15" s="1354" t="str">
        <f>+OMali!B21</f>
        <v>Diğer Kısa Vadeli Borçlar</v>
      </c>
      <c r="D15" s="538">
        <f>+Mali!H28</f>
        <v>105.386</v>
      </c>
      <c r="E15" s="538">
        <f>+Mali!I28</f>
        <v>124.91800000000001</v>
      </c>
      <c r="F15" s="538">
        <f>+Mali!J28</f>
        <v>168.51900000000001</v>
      </c>
      <c r="G15" s="1371">
        <f>+G14</f>
        <v>3</v>
      </c>
      <c r="H15" s="71">
        <f>IF($G$15=1,D109,IF($G$15=2,D202,IF($G$15=3,L218,IF($G$15=4,$F$15,$F$15))))</f>
        <v>1038.895062662277</v>
      </c>
      <c r="I15" s="71">
        <f t="shared" ref="I15:Q15" si="8">IF($G$15=1,E109,IF($G$15=2,E202,IF($G$15=3,M218,IF($G$15=4,$F$15,$F$15))))</f>
        <v>1145.4394064239514</v>
      </c>
      <c r="J15" s="71">
        <f t="shared" si="8"/>
        <v>1253.0378886921958</v>
      </c>
      <c r="K15" s="71">
        <f t="shared" si="8"/>
        <v>1371.777233835347</v>
      </c>
      <c r="L15" s="71">
        <f t="shared" si="8"/>
        <v>1502.833716789813</v>
      </c>
      <c r="M15" s="71">
        <f t="shared" si="8"/>
        <v>1644.0410317246938</v>
      </c>
      <c r="N15" s="71">
        <f t="shared" si="8"/>
        <v>1773.0210665971872</v>
      </c>
      <c r="O15" s="71">
        <f t="shared" si="8"/>
        <v>1901.4177099728749</v>
      </c>
      <c r="P15" s="71">
        <f t="shared" si="8"/>
        <v>2027.0641240523773</v>
      </c>
      <c r="Q15" s="1353">
        <f t="shared" si="8"/>
        <v>2161.5241932135477</v>
      </c>
      <c r="R15" s="4"/>
    </row>
    <row r="16" spans="2:21" ht="14.45" customHeight="1" x14ac:dyDescent="0.25">
      <c r="C16" s="1354" t="s">
        <v>1005</v>
      </c>
      <c r="D16" s="538">
        <f>IF(Duz!I29&lt;0,-Duz!D29,0)</f>
        <v>25.593000000000004</v>
      </c>
      <c r="E16" s="538">
        <f>IF(Duz!J29&lt;0,-Duz!E29,0)</f>
        <v>53.691999999999993</v>
      </c>
      <c r="F16" s="538">
        <f>IF(Duz!K29&lt;0,-Duz!F29,0)</f>
        <v>0</v>
      </c>
      <c r="G16" s="1371">
        <f>+G15</f>
        <v>3</v>
      </c>
      <c r="H16" s="71">
        <f>IF($G$16=1,D110,IF($G$16=2,D203,IF($G$16=3,L219,IF($G$16=4,$F$16,$F$16))))</f>
        <v>119.68242038731367</v>
      </c>
      <c r="I16" s="71">
        <f t="shared" ref="I16:Q16" si="9">IF($G$16=1,E110,IF($G$16=2,E203,IF($G$16=3,M219,IF($G$16=4,$F$16,$F$16))))</f>
        <v>125.08564776780325</v>
      </c>
      <c r="J16" s="71">
        <f t="shared" si="9"/>
        <v>130.54233411045294</v>
      </c>
      <c r="K16" s="71">
        <f t="shared" si="9"/>
        <v>136.56401164083408</v>
      </c>
      <c r="L16" s="71">
        <f t="shared" si="9"/>
        <v>143.21033327639856</v>
      </c>
      <c r="M16" s="71">
        <f t="shared" si="9"/>
        <v>150.3714382533858</v>
      </c>
      <c r="N16" s="71">
        <f t="shared" si="9"/>
        <v>156.91245611838337</v>
      </c>
      <c r="O16" s="71">
        <f t="shared" si="9"/>
        <v>163.42388820906589</v>
      </c>
      <c r="P16" s="71">
        <f t="shared" si="9"/>
        <v>169.79584678373504</v>
      </c>
      <c r="Q16" s="1353">
        <f t="shared" si="9"/>
        <v>176.61477589459696</v>
      </c>
      <c r="R16" s="4"/>
    </row>
    <row r="17" spans="2:21" s="7" customFormat="1" ht="15" customHeight="1" x14ac:dyDescent="0.25">
      <c r="C17" s="1357" t="s">
        <v>1003</v>
      </c>
      <c r="D17" s="846">
        <f>SUM(D14:D15)</f>
        <v>1750.2860000000001</v>
      </c>
      <c r="E17" s="846">
        <f>SUM(E14:E15)</f>
        <v>1906.3600000000001</v>
      </c>
      <c r="F17" s="846">
        <f>SUM(F14:F15)</f>
        <v>2258.9129999999996</v>
      </c>
      <c r="G17" s="1276"/>
      <c r="H17" s="8">
        <f t="shared" ref="H17" si="10">SUM(H14:H15)</f>
        <v>3377.0942104373389</v>
      </c>
      <c r="I17" s="8">
        <f t="shared" ref="I17:Q17" si="11">SUM(I14:I15)</f>
        <v>3778.1810140745756</v>
      </c>
      <c r="J17" s="8">
        <f t="shared" si="11"/>
        <v>4183.2361282693109</v>
      </c>
      <c r="K17" s="8">
        <f t="shared" si="11"/>
        <v>4630.2310857489465</v>
      </c>
      <c r="L17" s="8">
        <f t="shared" si="11"/>
        <v>5123.5939803736092</v>
      </c>
      <c r="M17" s="8">
        <f t="shared" si="11"/>
        <v>5655.1697412053254</v>
      </c>
      <c r="N17" s="8">
        <f t="shared" si="11"/>
        <v>6140.7158349120527</v>
      </c>
      <c r="O17" s="8">
        <f t="shared" si="11"/>
        <v>6624.0657479257325</v>
      </c>
      <c r="P17" s="8">
        <f t="shared" si="11"/>
        <v>7097.0624067099443</v>
      </c>
      <c r="Q17" s="1356">
        <f t="shared" si="11"/>
        <v>7603.238121465205</v>
      </c>
    </row>
    <row r="18" spans="2:21" s="7" customFormat="1" ht="15" customHeight="1" thickBot="1" x14ac:dyDescent="0.3">
      <c r="C18" s="1358" t="s">
        <v>980</v>
      </c>
      <c r="D18" s="150">
        <f>+D13-D17</f>
        <v>4642.2570000000014</v>
      </c>
      <c r="E18" s="150">
        <f>+E13-E17</f>
        <v>4944.1759999999995</v>
      </c>
      <c r="F18" s="150">
        <f>+F13-F17</f>
        <v>4979.7120000000014</v>
      </c>
      <c r="G18" s="1277"/>
      <c r="H18" s="9">
        <f t="shared" ref="H18" si="12">+H13-H17</f>
        <v>4850.1923854206416</v>
      </c>
      <c r="I18" s="9">
        <f t="shared" ref="I18:Q18" si="13">+I13-I17</f>
        <v>5348.2537180720365</v>
      </c>
      <c r="J18" s="9">
        <f t="shared" si="13"/>
        <v>5851.2428170491239</v>
      </c>
      <c r="K18" s="9">
        <f t="shared" si="13"/>
        <v>6406.311949695335</v>
      </c>
      <c r="L18" s="9">
        <f t="shared" si="13"/>
        <v>7018.9598317726432</v>
      </c>
      <c r="M18" s="9">
        <f t="shared" si="13"/>
        <v>7680.7220222190099</v>
      </c>
      <c r="N18" s="9">
        <f t="shared" si="13"/>
        <v>8285.6001028775554</v>
      </c>
      <c r="O18" s="9">
        <f t="shared" si="13"/>
        <v>8888.0237315241866</v>
      </c>
      <c r="P18" s="9">
        <f t="shared" si="13"/>
        <v>9477.8525334043843</v>
      </c>
      <c r="Q18" s="1359">
        <f t="shared" si="13"/>
        <v>10109.196797727906</v>
      </c>
    </row>
    <row r="19" spans="2:21" s="7" customFormat="1" ht="15" customHeight="1" thickBot="1" x14ac:dyDescent="0.3">
      <c r="C19" s="1360" t="s">
        <v>1080</v>
      </c>
      <c r="D19" s="1361"/>
      <c r="E19" s="1361">
        <f>+D18-E18</f>
        <v>-301.91899999999805</v>
      </c>
      <c r="F19" s="1361">
        <f>+E18-F18</f>
        <v>-35.536000000001877</v>
      </c>
      <c r="G19" s="1362"/>
      <c r="H19" s="1363">
        <f>+F18-H18</f>
        <v>129.51961457935977</v>
      </c>
      <c r="I19" s="1363">
        <f>+H18-I18</f>
        <v>-498.06133265139488</v>
      </c>
      <c r="J19" s="1363">
        <f t="shared" ref="J19:Q19" si="14">+I18-J18</f>
        <v>-502.98909897708745</v>
      </c>
      <c r="K19" s="1363">
        <f t="shared" si="14"/>
        <v>-555.06913264621107</v>
      </c>
      <c r="L19" s="1363">
        <f t="shared" si="14"/>
        <v>-612.64788207730817</v>
      </c>
      <c r="M19" s="1363">
        <f t="shared" si="14"/>
        <v>-661.76219044636673</v>
      </c>
      <c r="N19" s="1363">
        <f t="shared" si="14"/>
        <v>-604.87808065854551</v>
      </c>
      <c r="O19" s="1363">
        <f t="shared" si="14"/>
        <v>-602.42362864663119</v>
      </c>
      <c r="P19" s="1363">
        <f t="shared" si="14"/>
        <v>-589.82880188019772</v>
      </c>
      <c r="Q19" s="1364">
        <f t="shared" si="14"/>
        <v>-631.3442643235212</v>
      </c>
    </row>
    <row r="20" spans="2:21" ht="11.25" customHeight="1" thickBot="1" x14ac:dyDescent="0.3">
      <c r="C20" s="4"/>
      <c r="D20" s="55"/>
      <c r="E20" s="55"/>
      <c r="F20" s="55"/>
      <c r="G20" s="4"/>
      <c r="H20" s="4"/>
      <c r="I20" s="4"/>
      <c r="J20" s="4"/>
      <c r="K20" s="4"/>
      <c r="L20" s="4"/>
      <c r="M20" s="4"/>
      <c r="N20" s="4"/>
      <c r="O20" s="4"/>
      <c r="P20" s="4"/>
      <c r="Q20" s="4"/>
      <c r="R20" s="4"/>
    </row>
    <row r="21" spans="2:21" s="319" customFormat="1" ht="19.5" thickBot="1" x14ac:dyDescent="0.35">
      <c r="B21" s="1280" t="s">
        <v>251</v>
      </c>
      <c r="C21" s="1281" t="s">
        <v>1007</v>
      </c>
      <c r="D21" s="1282"/>
      <c r="E21" s="1282"/>
      <c r="F21" s="1282"/>
      <c r="G21" s="1283"/>
      <c r="H21" s="1284"/>
      <c r="I21" s="1285"/>
      <c r="J21" s="1285"/>
      <c r="K21" s="1285"/>
      <c r="L21" s="1286"/>
      <c r="M21" s="1286"/>
      <c r="N21" s="1286"/>
      <c r="O21" s="1286"/>
      <c r="P21" s="1286"/>
      <c r="Q21" s="1286"/>
      <c r="R21" s="1286"/>
      <c r="S21" s="1286"/>
      <c r="T21" s="1286"/>
      <c r="U21" s="1287"/>
    </row>
    <row r="22" spans="2:21" ht="5.25" customHeight="1" x14ac:dyDescent="0.25">
      <c r="C22" s="11"/>
      <c r="D22" s="1278">
        <v>1</v>
      </c>
      <c r="E22" s="1278">
        <f>D22+1</f>
        <v>2</v>
      </c>
      <c r="F22" s="1278">
        <f t="shared" ref="F22:K22" si="15">E22+1</f>
        <v>3</v>
      </c>
      <c r="G22" s="1278">
        <f t="shared" si="15"/>
        <v>4</v>
      </c>
      <c r="H22" s="1278">
        <f t="shared" si="15"/>
        <v>5</v>
      </c>
      <c r="I22" s="1278">
        <f t="shared" si="15"/>
        <v>6</v>
      </c>
      <c r="J22" s="1278">
        <f t="shared" si="15"/>
        <v>7</v>
      </c>
      <c r="K22" s="1278">
        <f t="shared" si="15"/>
        <v>8</v>
      </c>
      <c r="L22" s="13"/>
      <c r="M22" s="13"/>
      <c r="N22" s="13"/>
      <c r="O22" s="13"/>
      <c r="P22" s="13"/>
      <c r="Q22" s="13"/>
      <c r="R22" s="13"/>
      <c r="S22" s="13"/>
      <c r="T22" s="13"/>
      <c r="U22" s="13"/>
    </row>
    <row r="23" spans="2:21" ht="15.75" outlineLevel="1" thickBot="1" x14ac:dyDescent="0.3">
      <c r="B23" s="10" t="s">
        <v>824</v>
      </c>
      <c r="C23" s="14" t="s">
        <v>44</v>
      </c>
      <c r="D23" s="15" t="str">
        <f>+Mali!C3</f>
        <v>2008/12</v>
      </c>
      <c r="E23" s="16" t="str">
        <f>+Mali!D3</f>
        <v>2009/12</v>
      </c>
      <c r="F23" s="16" t="str">
        <f>+Mali!E3</f>
        <v>2010/12</v>
      </c>
      <c r="G23" s="16" t="str">
        <f>+Mali!F3</f>
        <v>2011/12</v>
      </c>
      <c r="H23" s="16" t="str">
        <f>+Mali!G3</f>
        <v>2012/12</v>
      </c>
      <c r="I23" s="16" t="str">
        <f>+Mali!H3</f>
        <v>2013/12</v>
      </c>
      <c r="J23" s="17" t="str">
        <f>+Mali!I3</f>
        <v>2014/12</v>
      </c>
      <c r="K23" s="18" t="str">
        <f>+Mali!J3</f>
        <v>2015/12</v>
      </c>
      <c r="L23" s="19">
        <f>LEFT(K23,4)+1</f>
        <v>2016</v>
      </c>
      <c r="M23" s="20">
        <f t="shared" ref="M23:U23" si="16">L23+1</f>
        <v>2017</v>
      </c>
      <c r="N23" s="20">
        <f t="shared" si="16"/>
        <v>2018</v>
      </c>
      <c r="O23" s="20">
        <f t="shared" si="16"/>
        <v>2019</v>
      </c>
      <c r="P23" s="20">
        <f t="shared" si="16"/>
        <v>2020</v>
      </c>
      <c r="Q23" s="20">
        <f t="shared" si="16"/>
        <v>2021</v>
      </c>
      <c r="R23" s="20">
        <f t="shared" si="16"/>
        <v>2022</v>
      </c>
      <c r="S23" s="20">
        <f t="shared" si="16"/>
        <v>2023</v>
      </c>
      <c r="T23" s="20">
        <f t="shared" si="16"/>
        <v>2024</v>
      </c>
      <c r="U23" s="21">
        <f t="shared" si="16"/>
        <v>2025</v>
      </c>
    </row>
    <row r="24" spans="2:21" outlineLevel="1" x14ac:dyDescent="0.25">
      <c r="C24" s="22" t="s">
        <v>185</v>
      </c>
      <c r="D24" s="23">
        <f>+Mali!C7</f>
        <v>2644.9270000000001</v>
      </c>
      <c r="E24" s="24">
        <f>+Mali!D7</f>
        <v>2233.011</v>
      </c>
      <c r="F24" s="24">
        <f>+Mali!E7</f>
        <v>2324.578</v>
      </c>
      <c r="G24" s="24">
        <f>+Mali!F7</f>
        <v>3180.87</v>
      </c>
      <c r="H24" s="24">
        <f>+Mali!G7</f>
        <v>3261.4769999999999</v>
      </c>
      <c r="I24" s="24">
        <f>+Mali!H7</f>
        <v>4182.1400000000003</v>
      </c>
      <c r="J24" s="24">
        <f>+Mali!I7</f>
        <v>4433.8980000000001</v>
      </c>
      <c r="K24" s="25">
        <f>+Mali!J7</f>
        <v>4790.5249999999996</v>
      </c>
      <c r="L24" s="26"/>
      <c r="M24" s="27"/>
      <c r="N24" s="28"/>
      <c r="O24" s="28"/>
      <c r="P24" s="28"/>
      <c r="Q24" s="28"/>
      <c r="R24" s="28"/>
      <c r="S24" s="28"/>
      <c r="T24" s="28"/>
      <c r="U24" s="28"/>
    </row>
    <row r="25" spans="2:21" outlineLevel="1" x14ac:dyDescent="0.25">
      <c r="C25" s="29" t="s">
        <v>238</v>
      </c>
      <c r="D25" s="30">
        <f>Mali!C56</f>
        <v>6775.5379999999996</v>
      </c>
      <c r="E25" s="31">
        <f>Mali!D56</f>
        <v>6591.8950000000004</v>
      </c>
      <c r="F25" s="31">
        <f>Mali!E56</f>
        <v>6936.42</v>
      </c>
      <c r="G25" s="31">
        <f>Mali!F56</f>
        <v>8437.2389999999996</v>
      </c>
      <c r="H25" s="31">
        <f>Mali!G56</f>
        <v>10556.861000000001</v>
      </c>
      <c r="I25" s="31">
        <f>Mali!H56</f>
        <v>11097.710999999999</v>
      </c>
      <c r="J25" s="31">
        <f>Mali!I56</f>
        <v>12514.032999999999</v>
      </c>
      <c r="K25" s="32">
        <f>Mali!J56</f>
        <v>14166.1</v>
      </c>
      <c r="L25" s="33">
        <f>+Sales!E154</f>
        <v>15887.936510951396</v>
      </c>
      <c r="M25" s="33">
        <f>+Sales!F154</f>
        <v>17657.550911746246</v>
      </c>
      <c r="N25" s="33">
        <f>+Sales!G154</f>
        <v>19444.673690891348</v>
      </c>
      <c r="O25" s="33">
        <f>+Sales!H154</f>
        <v>21416.837089600605</v>
      </c>
      <c r="P25" s="33">
        <f>+Sales!I154</f>
        <v>23593.578072421064</v>
      </c>
      <c r="Q25" s="33">
        <f>+Sales!J154</f>
        <v>25938.916071454521</v>
      </c>
      <c r="R25" s="33">
        <f>+Sales!K154</f>
        <v>28081.168950086354</v>
      </c>
      <c r="S25" s="33">
        <f>+Sales!L154</f>
        <v>30213.732173147568</v>
      </c>
      <c r="T25" s="33">
        <f>+Sales!M154</f>
        <v>32300.616337178635</v>
      </c>
      <c r="U25" s="33">
        <f>+Sales!N154</f>
        <v>34533.888102892684</v>
      </c>
    </row>
    <row r="26" spans="2:21" outlineLevel="1" x14ac:dyDescent="0.25">
      <c r="C26" s="35" t="s">
        <v>1021</v>
      </c>
      <c r="D26" s="36">
        <f>D24/D25</f>
        <v>0.39036413049413943</v>
      </c>
      <c r="E26" s="37">
        <f t="shared" ref="E26:K26" si="17">E24/E25</f>
        <v>0.33875099648887003</v>
      </c>
      <c r="F26" s="37">
        <f t="shared" si="17"/>
        <v>0.3351264773471041</v>
      </c>
      <c r="G26" s="37">
        <f t="shared" si="17"/>
        <v>0.37700366197994389</v>
      </c>
      <c r="H26" s="37">
        <f t="shared" si="17"/>
        <v>0.30894382335809856</v>
      </c>
      <c r="I26" s="37">
        <f t="shared" si="17"/>
        <v>0.37684708134857725</v>
      </c>
      <c r="J26" s="37">
        <f t="shared" si="17"/>
        <v>0.35431407284925653</v>
      </c>
      <c r="K26" s="38">
        <f t="shared" si="17"/>
        <v>0.33816823261165735</v>
      </c>
      <c r="L26" s="39"/>
      <c r="M26" s="39"/>
      <c r="N26" s="39"/>
      <c r="O26" s="39"/>
      <c r="P26" s="39"/>
      <c r="Q26" s="39"/>
      <c r="R26" s="39"/>
      <c r="S26" s="39"/>
      <c r="T26" s="39"/>
      <c r="U26" s="39"/>
    </row>
    <row r="27" spans="2:21" outlineLevel="1" x14ac:dyDescent="0.25">
      <c r="C27" s="4"/>
      <c r="D27" s="55"/>
      <c r="E27" s="55"/>
      <c r="F27" s="55"/>
      <c r="G27" s="4"/>
      <c r="H27" s="4"/>
      <c r="I27" s="4"/>
      <c r="J27" s="4"/>
      <c r="K27" s="4"/>
      <c r="L27" s="4"/>
      <c r="M27" s="4"/>
      <c r="N27" s="4"/>
      <c r="O27" s="4"/>
      <c r="P27" s="4"/>
      <c r="Q27" s="4"/>
      <c r="R27" s="4"/>
    </row>
    <row r="28" spans="2:21" outlineLevel="1" x14ac:dyDescent="0.25">
      <c r="C28" s="40" t="s">
        <v>1009</v>
      </c>
      <c r="D28" s="848">
        <f>MIN(D26:K26)</f>
        <v>0.30894382335809856</v>
      </c>
      <c r="E28" s="55"/>
      <c r="F28" s="55"/>
      <c r="G28" s="6"/>
      <c r="H28" s="6"/>
      <c r="I28" s="6"/>
      <c r="J28" s="6"/>
      <c r="K28" s="6"/>
      <c r="L28" s="6"/>
      <c r="M28" s="6"/>
      <c r="N28" s="6"/>
      <c r="O28" s="6"/>
      <c r="P28" s="6"/>
      <c r="Q28" s="6"/>
      <c r="R28" s="6"/>
    </row>
    <row r="29" spans="2:21" ht="15.75" outlineLevel="1" thickBot="1" x14ac:dyDescent="0.3">
      <c r="C29" s="40" t="s">
        <v>1013</v>
      </c>
      <c r="D29" s="848">
        <f>MAX(D26:K26)</f>
        <v>0.39036413049413943</v>
      </c>
      <c r="E29" s="55"/>
      <c r="F29" s="55"/>
      <c r="G29" s="6"/>
      <c r="H29" s="6"/>
      <c r="I29" s="41">
        <f>LEFT(K23,4)+1</f>
        <v>2016</v>
      </c>
      <c r="J29" s="42">
        <f t="shared" ref="J29:R29" si="18">I29+1</f>
        <v>2017</v>
      </c>
      <c r="K29" s="42">
        <f t="shared" si="18"/>
        <v>2018</v>
      </c>
      <c r="L29" s="42">
        <f t="shared" si="18"/>
        <v>2019</v>
      </c>
      <c r="M29" s="42">
        <f t="shared" si="18"/>
        <v>2020</v>
      </c>
      <c r="N29" s="42">
        <f t="shared" si="18"/>
        <v>2021</v>
      </c>
      <c r="O29" s="42">
        <f t="shared" si="18"/>
        <v>2022</v>
      </c>
      <c r="P29" s="42">
        <f t="shared" si="18"/>
        <v>2023</v>
      </c>
      <c r="Q29" s="42">
        <f t="shared" si="18"/>
        <v>2024</v>
      </c>
      <c r="R29" s="42">
        <f t="shared" si="18"/>
        <v>2025</v>
      </c>
      <c r="S29" s="43" t="s">
        <v>267</v>
      </c>
    </row>
    <row r="30" spans="2:21" outlineLevel="1" x14ac:dyDescent="0.25">
      <c r="C30" s="40" t="s">
        <v>1010</v>
      </c>
      <c r="D30" s="848">
        <f>AVERAGE(D26:K26)</f>
        <v>0.35243980955970589</v>
      </c>
      <c r="E30" s="55"/>
      <c r="F30" s="55"/>
      <c r="G30" s="2107" t="s">
        <v>1006</v>
      </c>
      <c r="H30" s="44" t="s">
        <v>1021</v>
      </c>
      <c r="I30" s="45">
        <f>K26</f>
        <v>0.33816823261165735</v>
      </c>
      <c r="J30" s="46">
        <f>I30</f>
        <v>0.33816823261165735</v>
      </c>
      <c r="K30" s="46">
        <f>J30</f>
        <v>0.33816823261165735</v>
      </c>
      <c r="L30" s="46">
        <f>K30</f>
        <v>0.33816823261165735</v>
      </c>
      <c r="M30" s="46">
        <f t="shared" ref="M30:R30" si="19">L30</f>
        <v>0.33816823261165735</v>
      </c>
      <c r="N30" s="46">
        <f t="shared" si="19"/>
        <v>0.33816823261165735</v>
      </c>
      <c r="O30" s="46">
        <f t="shared" si="19"/>
        <v>0.33816823261165735</v>
      </c>
      <c r="P30" s="46">
        <f t="shared" si="19"/>
        <v>0.33816823261165735</v>
      </c>
      <c r="Q30" s="46">
        <f t="shared" si="19"/>
        <v>0.33816823261165735</v>
      </c>
      <c r="R30" s="46">
        <f t="shared" si="19"/>
        <v>0.33816823261165735</v>
      </c>
      <c r="S30" s="47"/>
    </row>
    <row r="31" spans="2:21" ht="15.75" outlineLevel="1" thickBot="1" x14ac:dyDescent="0.3">
      <c r="C31" s="40" t="s">
        <v>1011</v>
      </c>
      <c r="D31" s="848">
        <f>MEDIAN(D26:K26)</f>
        <v>0.34653253466906331</v>
      </c>
      <c r="E31" s="55"/>
      <c r="F31" s="55"/>
      <c r="G31" s="2108"/>
      <c r="H31" s="48" t="s">
        <v>1021</v>
      </c>
      <c r="I31" s="49">
        <f>I30*L25</f>
        <v>5372.7954097546553</v>
      </c>
      <c r="J31" s="50">
        <f t="shared" ref="J31:R31" si="20">J30*M25</f>
        <v>5971.2227840755868</v>
      </c>
      <c r="K31" s="50">
        <f t="shared" si="20"/>
        <v>6575.5709357591195</v>
      </c>
      <c r="L31" s="50">
        <f t="shared" si="20"/>
        <v>7242.4939467220283</v>
      </c>
      <c r="M31" s="50">
        <f t="shared" si="20"/>
        <v>7978.5985977357841</v>
      </c>
      <c r="N31" s="50">
        <f t="shared" si="20"/>
        <v>8771.7174037458899</v>
      </c>
      <c r="O31" s="50">
        <f t="shared" si="20"/>
        <v>9496.159273520052</v>
      </c>
      <c r="P31" s="50">
        <f t="shared" si="20"/>
        <v>10217.324409595281</v>
      </c>
      <c r="Q31" s="50">
        <f t="shared" si="20"/>
        <v>10923.042339010924</v>
      </c>
      <c r="R31" s="50">
        <f t="shared" si="20"/>
        <v>11678.26390496396</v>
      </c>
      <c r="S31" s="51"/>
    </row>
    <row r="32" spans="2:21" outlineLevel="1" x14ac:dyDescent="0.25">
      <c r="C32" s="40" t="s">
        <v>1012</v>
      </c>
      <c r="D32" s="848">
        <f>SUMPRODUCT(D26:K26,D22:K22)/SUM(D22:K22)</f>
        <v>0.34923906053202713</v>
      </c>
      <c r="E32" s="55"/>
      <c r="F32" s="55"/>
      <c r="G32" s="6"/>
      <c r="H32" s="6"/>
      <c r="I32" s="6"/>
      <c r="J32" s="6"/>
      <c r="K32" s="6"/>
      <c r="L32" s="6"/>
      <c r="M32" s="6"/>
      <c r="N32" s="6"/>
      <c r="O32" s="6"/>
      <c r="P32" s="6"/>
      <c r="Q32" s="6"/>
      <c r="R32" s="6"/>
    </row>
    <row r="33" spans="2:21" ht="13.15" customHeight="1" outlineLevel="1" x14ac:dyDescent="0.25">
      <c r="C33" s="4"/>
      <c r="D33" s="847">
        <v>1</v>
      </c>
      <c r="E33" s="847">
        <f t="shared" ref="E33:K33" si="21">D33+1</f>
        <v>2</v>
      </c>
      <c r="F33" s="847">
        <f t="shared" si="21"/>
        <v>3</v>
      </c>
      <c r="G33" s="12">
        <f t="shared" si="21"/>
        <v>4</v>
      </c>
      <c r="H33" s="12">
        <f t="shared" si="21"/>
        <v>5</v>
      </c>
      <c r="I33" s="12">
        <f t="shared" si="21"/>
        <v>6</v>
      </c>
      <c r="J33" s="12">
        <f t="shared" si="21"/>
        <v>7</v>
      </c>
      <c r="K33" s="12">
        <f t="shared" si="21"/>
        <v>8</v>
      </c>
      <c r="L33" s="4"/>
      <c r="M33" s="4"/>
      <c r="N33" s="4"/>
      <c r="O33" s="4"/>
      <c r="P33" s="4"/>
      <c r="Q33" s="4"/>
      <c r="R33" s="4"/>
    </row>
    <row r="34" spans="2:21" ht="15.75" outlineLevel="1" thickBot="1" x14ac:dyDescent="0.3">
      <c r="B34" s="10" t="s">
        <v>824</v>
      </c>
      <c r="C34" s="52" t="s">
        <v>4</v>
      </c>
      <c r="D34" s="15" t="str">
        <f t="shared" ref="D34:J34" si="22">+D23</f>
        <v>2008/12</v>
      </c>
      <c r="E34" s="16" t="str">
        <f t="shared" si="22"/>
        <v>2009/12</v>
      </c>
      <c r="F34" s="16" t="str">
        <f t="shared" si="22"/>
        <v>2010/12</v>
      </c>
      <c r="G34" s="16" t="str">
        <f t="shared" si="22"/>
        <v>2011/12</v>
      </c>
      <c r="H34" s="16" t="str">
        <f t="shared" si="22"/>
        <v>2012/12</v>
      </c>
      <c r="I34" s="16" t="str">
        <f t="shared" si="22"/>
        <v>2013/12</v>
      </c>
      <c r="J34" s="16" t="str">
        <f t="shared" si="22"/>
        <v>2014/12</v>
      </c>
      <c r="K34" s="18" t="str">
        <f>+K23</f>
        <v>2015/12</v>
      </c>
      <c r="L34" s="19">
        <f>LEFT(K34,4)+1</f>
        <v>2016</v>
      </c>
      <c r="M34" s="20">
        <f t="shared" ref="M34:U34" si="23">L34+1</f>
        <v>2017</v>
      </c>
      <c r="N34" s="20">
        <f t="shared" si="23"/>
        <v>2018</v>
      </c>
      <c r="O34" s="20">
        <f t="shared" si="23"/>
        <v>2019</v>
      </c>
      <c r="P34" s="20">
        <f t="shared" si="23"/>
        <v>2020</v>
      </c>
      <c r="Q34" s="20">
        <f t="shared" si="23"/>
        <v>2021</v>
      </c>
      <c r="R34" s="20">
        <f t="shared" si="23"/>
        <v>2022</v>
      </c>
      <c r="S34" s="20">
        <f t="shared" si="23"/>
        <v>2023</v>
      </c>
      <c r="T34" s="20">
        <f t="shared" si="23"/>
        <v>2024</v>
      </c>
      <c r="U34" s="21">
        <f t="shared" si="23"/>
        <v>2025</v>
      </c>
    </row>
    <row r="35" spans="2:21" outlineLevel="1" x14ac:dyDescent="0.25">
      <c r="C35" s="22" t="s">
        <v>4</v>
      </c>
      <c r="D35" s="23">
        <f>+Mali!C9</f>
        <v>1303.931</v>
      </c>
      <c r="E35" s="24">
        <f>+Mali!D9</f>
        <v>906.78599999999994</v>
      </c>
      <c r="F35" s="24">
        <f>+Mali!E9</f>
        <v>987.52599999999995</v>
      </c>
      <c r="G35" s="24">
        <f>+Mali!F9</f>
        <v>1530.1410000000001</v>
      </c>
      <c r="H35" s="24">
        <f>+Mali!G9</f>
        <v>1599.6579999999999</v>
      </c>
      <c r="I35" s="24">
        <f>+Mali!H9</f>
        <v>1988.373</v>
      </c>
      <c r="J35" s="24">
        <f>+Mali!I9</f>
        <v>2124.9459999999999</v>
      </c>
      <c r="K35" s="25">
        <f>+Mali!J9</f>
        <v>2140.0569999999998</v>
      </c>
      <c r="L35" s="26">
        <f>Sales!E178</f>
        <v>0</v>
      </c>
      <c r="M35" s="27">
        <f>Sales!F178</f>
        <v>0</v>
      </c>
      <c r="N35" s="28">
        <f>Sales!G178</f>
        <v>0</v>
      </c>
      <c r="O35" s="28">
        <f>Sales!H178</f>
        <v>0</v>
      </c>
      <c r="P35" s="28">
        <f>Sales!I178</f>
        <v>0</v>
      </c>
      <c r="Q35" s="28">
        <f>Sales!J178</f>
        <v>0</v>
      </c>
      <c r="R35" s="28">
        <f>Sales!K178</f>
        <v>0</v>
      </c>
      <c r="S35" s="28">
        <f>Sales!L178</f>
        <v>0</v>
      </c>
      <c r="T35" s="28">
        <f>Sales!M178</f>
        <v>0</v>
      </c>
      <c r="U35" s="28">
        <f>Sales!N178</f>
        <v>0</v>
      </c>
    </row>
    <row r="36" spans="2:21" outlineLevel="1" x14ac:dyDescent="0.25">
      <c r="C36" s="29" t="s">
        <v>238</v>
      </c>
      <c r="D36" s="30">
        <f>+D25</f>
        <v>6775.5379999999996</v>
      </c>
      <c r="E36" s="31">
        <f t="shared" ref="E36:K36" si="24">+E25</f>
        <v>6591.8950000000004</v>
      </c>
      <c r="F36" s="31">
        <f t="shared" si="24"/>
        <v>6936.42</v>
      </c>
      <c r="G36" s="31">
        <f t="shared" si="24"/>
        <v>8437.2389999999996</v>
      </c>
      <c r="H36" s="31">
        <f t="shared" si="24"/>
        <v>10556.861000000001</v>
      </c>
      <c r="I36" s="31">
        <f t="shared" si="24"/>
        <v>11097.710999999999</v>
      </c>
      <c r="J36" s="31">
        <f t="shared" si="24"/>
        <v>12514.032999999999</v>
      </c>
      <c r="K36" s="32">
        <f t="shared" si="24"/>
        <v>14166.1</v>
      </c>
      <c r="L36" s="33">
        <f>Sales!E154</f>
        <v>15887.936510951396</v>
      </c>
      <c r="M36" s="34">
        <f>Sales!F154</f>
        <v>17657.550911746246</v>
      </c>
      <c r="N36" s="34">
        <f>Sales!G154</f>
        <v>19444.673690891348</v>
      </c>
      <c r="O36" s="34">
        <f>Sales!H154</f>
        <v>21416.837089600605</v>
      </c>
      <c r="P36" s="34">
        <f>Sales!I154</f>
        <v>23593.578072421064</v>
      </c>
      <c r="Q36" s="34">
        <f>Sales!J154</f>
        <v>25938.916071454521</v>
      </c>
      <c r="R36" s="34">
        <f>Sales!K154</f>
        <v>28081.168950086354</v>
      </c>
      <c r="S36" s="34">
        <f>Sales!L154</f>
        <v>30213.732173147568</v>
      </c>
      <c r="T36" s="34">
        <f>Sales!M154</f>
        <v>32300.616337178635</v>
      </c>
      <c r="U36" s="34">
        <f>Sales!N154</f>
        <v>34533.888102892684</v>
      </c>
    </row>
    <row r="37" spans="2:21" outlineLevel="1" x14ac:dyDescent="0.25">
      <c r="C37" s="35" t="s">
        <v>1022</v>
      </c>
      <c r="D37" s="36">
        <f>D35/D36</f>
        <v>0.19244685809451592</v>
      </c>
      <c r="E37" s="37">
        <f t="shared" ref="E37:K37" si="25">E35/E36</f>
        <v>0.13756074694757728</v>
      </c>
      <c r="F37" s="37">
        <f t="shared" si="25"/>
        <v>0.14236825336412731</v>
      </c>
      <c r="G37" s="37">
        <f t="shared" si="25"/>
        <v>0.18135565437935328</v>
      </c>
      <c r="H37" s="37">
        <f t="shared" si="25"/>
        <v>0.1515278073662237</v>
      </c>
      <c r="I37" s="37">
        <f t="shared" si="25"/>
        <v>0.17916965039006694</v>
      </c>
      <c r="J37" s="37">
        <f t="shared" si="25"/>
        <v>0.16980505005860222</v>
      </c>
      <c r="K37" s="38">
        <f t="shared" si="25"/>
        <v>0.15106888981441607</v>
      </c>
      <c r="L37" s="39"/>
      <c r="M37" s="39"/>
      <c r="N37" s="39"/>
      <c r="O37" s="39"/>
      <c r="P37" s="39"/>
      <c r="Q37" s="39"/>
      <c r="R37" s="39"/>
      <c r="S37" s="39"/>
      <c r="T37" s="39"/>
      <c r="U37" s="39"/>
    </row>
    <row r="38" spans="2:21" outlineLevel="1" x14ac:dyDescent="0.25">
      <c r="C38" s="4"/>
      <c r="D38" s="55"/>
      <c r="E38" s="55"/>
      <c r="F38" s="55"/>
      <c r="G38" s="4"/>
      <c r="H38" s="4"/>
      <c r="I38" s="4"/>
      <c r="J38" s="4"/>
      <c r="K38" s="4"/>
      <c r="L38" s="4"/>
      <c r="M38" s="4"/>
      <c r="N38" s="4"/>
      <c r="O38" s="4"/>
      <c r="P38" s="4"/>
      <c r="Q38" s="4"/>
      <c r="R38" s="4"/>
    </row>
    <row r="39" spans="2:21" outlineLevel="1" x14ac:dyDescent="0.25">
      <c r="C39" s="40" t="s">
        <v>1023</v>
      </c>
      <c r="D39" s="848">
        <f>MIN(D37:K37)</f>
        <v>0.13756074694757728</v>
      </c>
      <c r="E39" s="55"/>
      <c r="F39" s="55"/>
      <c r="G39" s="6"/>
      <c r="H39" s="6"/>
      <c r="I39" s="6"/>
      <c r="J39" s="6"/>
      <c r="K39" s="6"/>
      <c r="L39" s="6"/>
      <c r="M39" s="6"/>
      <c r="N39" s="6"/>
      <c r="O39" s="6"/>
      <c r="P39" s="6"/>
      <c r="Q39" s="6"/>
      <c r="R39" s="6"/>
    </row>
    <row r="40" spans="2:21" ht="15.75" outlineLevel="1" thickBot="1" x14ac:dyDescent="0.3">
      <c r="C40" s="40" t="s">
        <v>1024</v>
      </c>
      <c r="D40" s="848">
        <f>MAX(D37:K37)</f>
        <v>0.19244685809451592</v>
      </c>
      <c r="E40" s="55"/>
      <c r="F40" s="55"/>
      <c r="G40" s="6"/>
      <c r="H40" s="6"/>
      <c r="I40" s="41">
        <f>LEFT(K34,4)+1</f>
        <v>2016</v>
      </c>
      <c r="J40" s="42">
        <f t="shared" ref="J40:R40" si="26">I40+1</f>
        <v>2017</v>
      </c>
      <c r="K40" s="42">
        <f t="shared" si="26"/>
        <v>2018</v>
      </c>
      <c r="L40" s="42">
        <f t="shared" si="26"/>
        <v>2019</v>
      </c>
      <c r="M40" s="42">
        <f t="shared" si="26"/>
        <v>2020</v>
      </c>
      <c r="N40" s="42">
        <f t="shared" si="26"/>
        <v>2021</v>
      </c>
      <c r="O40" s="42">
        <f t="shared" si="26"/>
        <v>2022</v>
      </c>
      <c r="P40" s="42">
        <f t="shared" si="26"/>
        <v>2023</v>
      </c>
      <c r="Q40" s="42">
        <f t="shared" si="26"/>
        <v>2024</v>
      </c>
      <c r="R40" s="42">
        <f t="shared" si="26"/>
        <v>2025</v>
      </c>
      <c r="S40" s="43" t="s">
        <v>267</v>
      </c>
    </row>
    <row r="41" spans="2:21" outlineLevel="1" x14ac:dyDescent="0.25">
      <c r="C41" s="40" t="s">
        <v>1025</v>
      </c>
      <c r="D41" s="848">
        <f>AVERAGE(D37:K37)</f>
        <v>0.16316286380186035</v>
      </c>
      <c r="E41" s="55"/>
      <c r="F41" s="55"/>
      <c r="G41" s="2107" t="s">
        <v>1006</v>
      </c>
      <c r="H41" s="44" t="s">
        <v>1022</v>
      </c>
      <c r="I41" s="45">
        <f>K37</f>
        <v>0.15106888981441607</v>
      </c>
      <c r="J41" s="46">
        <f t="shared" ref="J41:R41" si="27">I41</f>
        <v>0.15106888981441607</v>
      </c>
      <c r="K41" s="46">
        <f t="shared" si="27"/>
        <v>0.15106888981441607</v>
      </c>
      <c r="L41" s="46">
        <f t="shared" si="27"/>
        <v>0.15106888981441607</v>
      </c>
      <c r="M41" s="46">
        <f t="shared" si="27"/>
        <v>0.15106888981441607</v>
      </c>
      <c r="N41" s="46">
        <f t="shared" si="27"/>
        <v>0.15106888981441607</v>
      </c>
      <c r="O41" s="46">
        <f t="shared" si="27"/>
        <v>0.15106888981441607</v>
      </c>
      <c r="P41" s="46">
        <f t="shared" si="27"/>
        <v>0.15106888981441607</v>
      </c>
      <c r="Q41" s="46">
        <f t="shared" si="27"/>
        <v>0.15106888981441607</v>
      </c>
      <c r="R41" s="46">
        <f t="shared" si="27"/>
        <v>0.15106888981441607</v>
      </c>
      <c r="S41" s="47"/>
    </row>
    <row r="42" spans="2:21" ht="15.75" outlineLevel="1" thickBot="1" x14ac:dyDescent="0.3">
      <c r="C42" s="40" t="s">
        <v>1026</v>
      </c>
      <c r="D42" s="848">
        <f>MEDIAN(D37:K37)</f>
        <v>0.16066642871241296</v>
      </c>
      <c r="E42" s="55"/>
      <c r="F42" s="55"/>
      <c r="G42" s="2108"/>
      <c r="H42" s="48" t="s">
        <v>1022</v>
      </c>
      <c r="I42" s="49">
        <f t="shared" ref="I42:R42" si="28">I41*L36</f>
        <v>2400.1729301513546</v>
      </c>
      <c r="J42" s="50">
        <f t="shared" si="28"/>
        <v>2667.5066130790356</v>
      </c>
      <c r="K42" s="50">
        <f t="shared" si="28"/>
        <v>2937.48526728654</v>
      </c>
      <c r="L42" s="50">
        <f t="shared" si="28"/>
        <v>3235.4178024621733</v>
      </c>
      <c r="M42" s="50">
        <f t="shared" si="28"/>
        <v>3564.2556461504009</v>
      </c>
      <c r="N42" s="50">
        <f t="shared" si="28"/>
        <v>3918.5632539039493</v>
      </c>
      <c r="O42" s="50">
        <f t="shared" si="28"/>
        <v>4242.1910179805973</v>
      </c>
      <c r="P42" s="50">
        <f t="shared" si="28"/>
        <v>4564.3549765475082</v>
      </c>
      <c r="Q42" s="50">
        <f t="shared" si="28"/>
        <v>4879.6182503789669</v>
      </c>
      <c r="R42" s="50">
        <f t="shared" si="28"/>
        <v>5216.9961366792695</v>
      </c>
      <c r="S42" s="51"/>
    </row>
    <row r="43" spans="2:21" outlineLevel="1" x14ac:dyDescent="0.25">
      <c r="C43" s="40" t="s">
        <v>1027</v>
      </c>
      <c r="D43" s="848">
        <f>SUMPRODUCT(D37:K37,D33:K33)/SUM(D33:K33)</f>
        <v>0.16249830938045917</v>
      </c>
      <c r="E43" s="55"/>
      <c r="F43" s="55"/>
      <c r="G43" s="6"/>
      <c r="H43" s="6"/>
      <c r="I43" s="6"/>
      <c r="J43" s="6"/>
      <c r="K43" s="6"/>
      <c r="L43" s="6"/>
      <c r="M43" s="6"/>
      <c r="N43" s="6"/>
      <c r="O43" s="6"/>
      <c r="P43" s="6"/>
      <c r="Q43" s="6"/>
      <c r="R43" s="6"/>
    </row>
    <row r="44" spans="2:21" ht="13.15" customHeight="1" outlineLevel="1" x14ac:dyDescent="0.25">
      <c r="C44" s="4"/>
      <c r="D44" s="847">
        <v>1</v>
      </c>
      <c r="E44" s="847">
        <f t="shared" ref="E44:K44" si="29">D44+1</f>
        <v>2</v>
      </c>
      <c r="F44" s="847">
        <f t="shared" si="29"/>
        <v>3</v>
      </c>
      <c r="G44" s="12">
        <f t="shared" si="29"/>
        <v>4</v>
      </c>
      <c r="H44" s="12">
        <f t="shared" si="29"/>
        <v>5</v>
      </c>
      <c r="I44" s="12">
        <f t="shared" si="29"/>
        <v>6</v>
      </c>
      <c r="J44" s="12">
        <f t="shared" si="29"/>
        <v>7</v>
      </c>
      <c r="K44" s="12">
        <f t="shared" si="29"/>
        <v>8</v>
      </c>
      <c r="L44" s="4"/>
      <c r="M44" s="4"/>
      <c r="N44" s="4"/>
      <c r="O44" s="4"/>
      <c r="P44" s="4"/>
      <c r="Q44" s="4"/>
      <c r="R44" s="4"/>
    </row>
    <row r="45" spans="2:21" ht="15.75" outlineLevel="1" thickBot="1" x14ac:dyDescent="0.3">
      <c r="B45" s="10" t="s">
        <v>824</v>
      </c>
      <c r="C45" s="52" t="s">
        <v>94</v>
      </c>
      <c r="D45" s="1167" t="str">
        <f t="shared" ref="D45:K45" si="30">+D34</f>
        <v>2008/12</v>
      </c>
      <c r="E45" s="1168" t="str">
        <f t="shared" si="30"/>
        <v>2009/12</v>
      </c>
      <c r="F45" s="1168" t="str">
        <f t="shared" si="30"/>
        <v>2010/12</v>
      </c>
      <c r="G45" s="1168" t="str">
        <f t="shared" si="30"/>
        <v>2011/12</v>
      </c>
      <c r="H45" s="1168" t="str">
        <f t="shared" si="30"/>
        <v>2012/12</v>
      </c>
      <c r="I45" s="1168" t="str">
        <f t="shared" si="30"/>
        <v>2013/12</v>
      </c>
      <c r="J45" s="1168" t="str">
        <f t="shared" si="30"/>
        <v>2014/12</v>
      </c>
      <c r="K45" s="1169" t="str">
        <f t="shared" si="30"/>
        <v>2015/12</v>
      </c>
      <c r="L45" s="19">
        <f>LEFT(K45,4)+1</f>
        <v>2016</v>
      </c>
      <c r="M45" s="20">
        <f t="shared" ref="M45:U45" si="31">L45+1</f>
        <v>2017</v>
      </c>
      <c r="N45" s="20">
        <f t="shared" si="31"/>
        <v>2018</v>
      </c>
      <c r="O45" s="20">
        <f t="shared" si="31"/>
        <v>2019</v>
      </c>
      <c r="P45" s="20">
        <f t="shared" si="31"/>
        <v>2020</v>
      </c>
      <c r="Q45" s="20">
        <f t="shared" si="31"/>
        <v>2021</v>
      </c>
      <c r="R45" s="20">
        <f t="shared" si="31"/>
        <v>2022</v>
      </c>
      <c r="S45" s="20">
        <f t="shared" si="31"/>
        <v>2023</v>
      </c>
      <c r="T45" s="20">
        <f t="shared" si="31"/>
        <v>2024</v>
      </c>
      <c r="U45" s="21">
        <f t="shared" si="31"/>
        <v>2025</v>
      </c>
    </row>
    <row r="46" spans="2:21" outlineLevel="1" x14ac:dyDescent="0.25">
      <c r="C46" s="22" t="s">
        <v>94</v>
      </c>
      <c r="D46" s="23">
        <f>+Mali!C12+Mali!C8</f>
        <v>103.17199999999957</v>
      </c>
      <c r="E46" s="24">
        <f>+Mali!D12+Mali!D8</f>
        <v>108.98000000000002</v>
      </c>
      <c r="F46" s="24">
        <f>+Mali!E12+Mali!E8</f>
        <v>117.98400000000038</v>
      </c>
      <c r="G46" s="24">
        <f>+Mali!F12+Mali!F8</f>
        <v>146.01699999999983</v>
      </c>
      <c r="H46" s="24">
        <f>+Mali!G12+Mali!G8</f>
        <v>134.75400000000081</v>
      </c>
      <c r="I46" s="24">
        <f>+Mali!H12+Mali!H8</f>
        <v>222.03000000000065</v>
      </c>
      <c r="J46" s="24">
        <f>+Mali!I12+Mali!I8</f>
        <v>291.6919999999991</v>
      </c>
      <c r="K46" s="25">
        <f>+Mali!J12+Mali!J8</f>
        <v>308.04300000000148</v>
      </c>
      <c r="L46" s="26">
        <f>Sales!E200</f>
        <v>0</v>
      </c>
      <c r="M46" s="27">
        <f>Sales!F200</f>
        <v>0</v>
      </c>
      <c r="N46" s="28">
        <f>Sales!G200</f>
        <v>0</v>
      </c>
      <c r="O46" s="28">
        <f>Sales!H200</f>
        <v>0</v>
      </c>
      <c r="P46" s="28">
        <f>Sales!I200</f>
        <v>0</v>
      </c>
      <c r="Q46" s="28">
        <f>Sales!J200</f>
        <v>0</v>
      </c>
      <c r="R46" s="28">
        <f>Sales!K200</f>
        <v>0</v>
      </c>
      <c r="S46" s="28">
        <f>Sales!L200</f>
        <v>0</v>
      </c>
      <c r="T46" s="28">
        <f>Sales!M200</f>
        <v>0</v>
      </c>
      <c r="U46" s="28">
        <f>Sales!N200</f>
        <v>0</v>
      </c>
    </row>
    <row r="47" spans="2:21" outlineLevel="1" x14ac:dyDescent="0.25">
      <c r="C47" s="29" t="s">
        <v>238</v>
      </c>
      <c r="D47" s="30">
        <f t="shared" ref="D47:K47" si="32">+D36</f>
        <v>6775.5379999999996</v>
      </c>
      <c r="E47" s="31">
        <f t="shared" si="32"/>
        <v>6591.8950000000004</v>
      </c>
      <c r="F47" s="31">
        <f t="shared" si="32"/>
        <v>6936.42</v>
      </c>
      <c r="G47" s="31">
        <f t="shared" si="32"/>
        <v>8437.2389999999996</v>
      </c>
      <c r="H47" s="31">
        <f t="shared" si="32"/>
        <v>10556.861000000001</v>
      </c>
      <c r="I47" s="31">
        <f t="shared" si="32"/>
        <v>11097.710999999999</v>
      </c>
      <c r="J47" s="31">
        <f t="shared" si="32"/>
        <v>12514.032999999999</v>
      </c>
      <c r="K47" s="32">
        <f t="shared" si="32"/>
        <v>14166.1</v>
      </c>
      <c r="L47" s="33">
        <f>Sales!E154</f>
        <v>15887.936510951396</v>
      </c>
      <c r="M47" s="34">
        <f>Sales!F154</f>
        <v>17657.550911746246</v>
      </c>
      <c r="N47" s="34">
        <f>Sales!G154</f>
        <v>19444.673690891348</v>
      </c>
      <c r="O47" s="34">
        <f>Sales!H154</f>
        <v>21416.837089600605</v>
      </c>
      <c r="P47" s="34">
        <f>Sales!I154</f>
        <v>23593.578072421064</v>
      </c>
      <c r="Q47" s="34">
        <f>Sales!J154</f>
        <v>25938.916071454521</v>
      </c>
      <c r="R47" s="34">
        <f>Sales!K154</f>
        <v>28081.168950086354</v>
      </c>
      <c r="S47" s="34">
        <f>Sales!L154</f>
        <v>30213.732173147568</v>
      </c>
      <c r="T47" s="34">
        <f>Sales!M154</f>
        <v>32300.616337178635</v>
      </c>
      <c r="U47" s="34">
        <f>Sales!N154</f>
        <v>34533.888102892684</v>
      </c>
    </row>
    <row r="48" spans="2:21" outlineLevel="1" x14ac:dyDescent="0.25">
      <c r="C48" s="35" t="s">
        <v>1028</v>
      </c>
      <c r="D48" s="36">
        <f>D46/D47</f>
        <v>1.5227130303158152E-2</v>
      </c>
      <c r="E48" s="37">
        <f t="shared" ref="E48:K48" si="33">E46/E47</f>
        <v>1.65324235291976E-2</v>
      </c>
      <c r="F48" s="37">
        <f t="shared" si="33"/>
        <v>1.7009350644857198E-2</v>
      </c>
      <c r="G48" s="37">
        <f t="shared" si="33"/>
        <v>1.7306253858637859E-2</v>
      </c>
      <c r="H48" s="37">
        <f t="shared" si="33"/>
        <v>1.2764589777207524E-2</v>
      </c>
      <c r="I48" s="37">
        <f t="shared" si="33"/>
        <v>2.0006828435161148E-2</v>
      </c>
      <c r="J48" s="37">
        <f t="shared" si="33"/>
        <v>2.330919216850388E-2</v>
      </c>
      <c r="K48" s="38">
        <f t="shared" si="33"/>
        <v>2.1745081567968706E-2</v>
      </c>
      <c r="L48" s="39"/>
      <c r="M48" s="39"/>
      <c r="N48" s="39"/>
      <c r="O48" s="39"/>
      <c r="P48" s="39"/>
      <c r="Q48" s="39"/>
      <c r="R48" s="39"/>
      <c r="S48" s="39"/>
      <c r="T48" s="39"/>
      <c r="U48" s="39"/>
    </row>
    <row r="49" spans="2:21" outlineLevel="1" x14ac:dyDescent="0.25">
      <c r="C49" s="4"/>
      <c r="D49" s="55"/>
      <c r="E49" s="55"/>
      <c r="F49" s="55"/>
      <c r="G49" s="4"/>
      <c r="H49" s="4"/>
      <c r="I49" s="4"/>
      <c r="J49" s="4"/>
      <c r="K49" s="4"/>
      <c r="L49" s="4"/>
      <c r="M49" s="4"/>
      <c r="N49" s="4"/>
      <c r="O49" s="4"/>
      <c r="P49" s="4"/>
      <c r="Q49" s="4"/>
      <c r="R49" s="4"/>
    </row>
    <row r="50" spans="2:21" outlineLevel="1" x14ac:dyDescent="0.25">
      <c r="C50" s="40" t="s">
        <v>1029</v>
      </c>
      <c r="D50" s="848">
        <f>MIN(D48:K48)</f>
        <v>1.2764589777207524E-2</v>
      </c>
      <c r="E50" s="55"/>
      <c r="F50" s="55"/>
      <c r="G50" s="6"/>
      <c r="H50" s="6"/>
      <c r="I50" s="6"/>
      <c r="J50" s="6"/>
      <c r="K50" s="6"/>
      <c r="L50" s="6"/>
      <c r="M50" s="6"/>
      <c r="N50" s="6"/>
      <c r="O50" s="6"/>
      <c r="P50" s="6"/>
      <c r="Q50" s="6"/>
      <c r="R50" s="6"/>
    </row>
    <row r="51" spans="2:21" ht="15.75" outlineLevel="1" thickBot="1" x14ac:dyDescent="0.3">
      <c r="C51" s="40" t="s">
        <v>1030</v>
      </c>
      <c r="D51" s="848">
        <f>MAX(D48:K48)</f>
        <v>2.330919216850388E-2</v>
      </c>
      <c r="E51" s="55"/>
      <c r="F51" s="55"/>
      <c r="G51" s="6"/>
      <c r="H51" s="6"/>
      <c r="I51" s="41">
        <f>LEFT(K45,4)+1</f>
        <v>2016</v>
      </c>
      <c r="J51" s="42">
        <f t="shared" ref="J51:R51" si="34">I51+1</f>
        <v>2017</v>
      </c>
      <c r="K51" s="42">
        <f t="shared" si="34"/>
        <v>2018</v>
      </c>
      <c r="L51" s="42">
        <f t="shared" si="34"/>
        <v>2019</v>
      </c>
      <c r="M51" s="42">
        <f t="shared" si="34"/>
        <v>2020</v>
      </c>
      <c r="N51" s="42">
        <f t="shared" si="34"/>
        <v>2021</v>
      </c>
      <c r="O51" s="42">
        <f t="shared" si="34"/>
        <v>2022</v>
      </c>
      <c r="P51" s="42">
        <f t="shared" si="34"/>
        <v>2023</v>
      </c>
      <c r="Q51" s="42">
        <f t="shared" si="34"/>
        <v>2024</v>
      </c>
      <c r="R51" s="42">
        <f t="shared" si="34"/>
        <v>2025</v>
      </c>
      <c r="S51" s="43" t="s">
        <v>267</v>
      </c>
    </row>
    <row r="52" spans="2:21" outlineLevel="1" x14ac:dyDescent="0.25">
      <c r="C52" s="40" t="s">
        <v>1031</v>
      </c>
      <c r="D52" s="848">
        <f>AVERAGE(D48:K48)</f>
        <v>1.7987606285586509E-2</v>
      </c>
      <c r="E52" s="55"/>
      <c r="F52" s="55"/>
      <c r="G52" s="2107" t="s">
        <v>1006</v>
      </c>
      <c r="H52" s="44" t="s">
        <v>1028</v>
      </c>
      <c r="I52" s="45">
        <f>K48</f>
        <v>2.1745081567968706E-2</v>
      </c>
      <c r="J52" s="46">
        <f>I52</f>
        <v>2.1745081567968706E-2</v>
      </c>
      <c r="K52" s="46">
        <f>J52</f>
        <v>2.1745081567968706E-2</v>
      </c>
      <c r="L52" s="46">
        <f>K52</f>
        <v>2.1745081567968706E-2</v>
      </c>
      <c r="M52" s="46">
        <f>L52</f>
        <v>2.1745081567968706E-2</v>
      </c>
      <c r="N52" s="46">
        <f>M52-($M$30-$R$30)/5</f>
        <v>2.1745081567968706E-2</v>
      </c>
      <c r="O52" s="46">
        <f>N52-($M$30-$R$30)/5</f>
        <v>2.1745081567968706E-2</v>
      </c>
      <c r="P52" s="46">
        <f>O52-($M$30-$R$30)/5</f>
        <v>2.1745081567968706E-2</v>
      </c>
      <c r="Q52" s="46">
        <f>P52-($M$30-$R$30)/5</f>
        <v>2.1745081567968706E-2</v>
      </c>
      <c r="R52" s="46">
        <f>Q52-($M$30-$R$30)/5</f>
        <v>2.1745081567968706E-2</v>
      </c>
      <c r="S52" s="47"/>
    </row>
    <row r="53" spans="2:21" ht="15.75" outlineLevel="1" thickBot="1" x14ac:dyDescent="0.3">
      <c r="C53" s="40" t="s">
        <v>1032</v>
      </c>
      <c r="D53" s="848">
        <f>MEDIAN(D48:K48)</f>
        <v>1.7157802251747529E-2</v>
      </c>
      <c r="E53" s="55"/>
      <c r="F53" s="55"/>
      <c r="G53" s="2108"/>
      <c r="H53" s="48" t="s">
        <v>1028</v>
      </c>
      <c r="I53" s="49">
        <f t="shared" ref="I53:R53" si="35">I52*L47</f>
        <v>345.48447537734626</v>
      </c>
      <c r="J53" s="50">
        <f t="shared" si="35"/>
        <v>383.96488486648229</v>
      </c>
      <c r="K53" s="50">
        <f t="shared" si="35"/>
        <v>422.82601547096749</v>
      </c>
      <c r="L53" s="50">
        <f t="shared" si="35"/>
        <v>465.71086944126267</v>
      </c>
      <c r="M53" s="50">
        <f t="shared" si="35"/>
        <v>513.04427966503386</v>
      </c>
      <c r="N53" s="50">
        <f t="shared" si="35"/>
        <v>564.04384575847291</v>
      </c>
      <c r="O53" s="50">
        <f t="shared" si="35"/>
        <v>610.62730934353795</v>
      </c>
      <c r="P53" s="50">
        <f t="shared" si="35"/>
        <v>657.00007057785422</v>
      </c>
      <c r="Q53" s="50">
        <f t="shared" si="35"/>
        <v>702.379536947612</v>
      </c>
      <c r="R53" s="50">
        <f t="shared" si="35"/>
        <v>750.94221365650549</v>
      </c>
      <c r="S53" s="51"/>
    </row>
    <row r="54" spans="2:21" outlineLevel="1" x14ac:dyDescent="0.25">
      <c r="C54" s="40" t="s">
        <v>1033</v>
      </c>
      <c r="D54" s="848">
        <f>SUMPRODUCT(D48:K48,D44:K44)/SUM(D44:K44)</f>
        <v>1.915372116530438E-2</v>
      </c>
      <c r="E54" s="55"/>
      <c r="F54" s="55"/>
      <c r="G54" s="6"/>
      <c r="H54" s="6"/>
      <c r="I54" s="6"/>
      <c r="J54" s="6"/>
      <c r="K54" s="6"/>
      <c r="L54" s="6"/>
      <c r="M54" s="6"/>
      <c r="N54" s="6"/>
      <c r="O54" s="6"/>
      <c r="P54" s="6"/>
      <c r="Q54" s="6"/>
      <c r="R54" s="6"/>
    </row>
    <row r="55" spans="2:21" ht="13.15" customHeight="1" outlineLevel="1" x14ac:dyDescent="0.25">
      <c r="C55" s="4"/>
      <c r="D55" s="847">
        <v>1</v>
      </c>
      <c r="E55" s="847">
        <f t="shared" ref="E55:K55" si="36">D55+1</f>
        <v>2</v>
      </c>
      <c r="F55" s="847">
        <f t="shared" si="36"/>
        <v>3</v>
      </c>
      <c r="G55" s="12">
        <f t="shared" si="36"/>
        <v>4</v>
      </c>
      <c r="H55" s="12">
        <f t="shared" si="36"/>
        <v>5</v>
      </c>
      <c r="I55" s="12">
        <f t="shared" si="36"/>
        <v>6</v>
      </c>
      <c r="J55" s="12">
        <f t="shared" si="36"/>
        <v>7</v>
      </c>
      <c r="K55" s="12">
        <f t="shared" si="36"/>
        <v>8</v>
      </c>
      <c r="L55" s="4"/>
      <c r="M55" s="4"/>
      <c r="N55" s="4"/>
      <c r="O55" s="4"/>
      <c r="P55" s="4"/>
      <c r="Q55" s="4"/>
      <c r="R55" s="4"/>
    </row>
    <row r="56" spans="2:21" ht="15.75" outlineLevel="1" thickBot="1" x14ac:dyDescent="0.3">
      <c r="B56" s="10" t="s">
        <v>824</v>
      </c>
      <c r="C56" s="52" t="s">
        <v>780</v>
      </c>
      <c r="D56" s="15" t="str">
        <f t="shared" ref="D56:K56" si="37">+D90</f>
        <v>2008/12</v>
      </c>
      <c r="E56" s="16" t="str">
        <f t="shared" si="37"/>
        <v>2009/12</v>
      </c>
      <c r="F56" s="16" t="str">
        <f t="shared" si="37"/>
        <v>2010/12</v>
      </c>
      <c r="G56" s="16" t="str">
        <f t="shared" si="37"/>
        <v>2011/12</v>
      </c>
      <c r="H56" s="16" t="str">
        <f t="shared" si="37"/>
        <v>2012/12</v>
      </c>
      <c r="I56" s="16" t="str">
        <f t="shared" si="37"/>
        <v>2013/12</v>
      </c>
      <c r="J56" s="16" t="str">
        <f t="shared" si="37"/>
        <v>2014/12</v>
      </c>
      <c r="K56" s="18" t="str">
        <f t="shared" si="37"/>
        <v>2015/12</v>
      </c>
      <c r="L56" s="19">
        <f>LEFT(K56,4)+1</f>
        <v>2016</v>
      </c>
      <c r="M56" s="20">
        <f t="shared" ref="M56:U56" si="38">L56+1</f>
        <v>2017</v>
      </c>
      <c r="N56" s="20">
        <f t="shared" si="38"/>
        <v>2018</v>
      </c>
      <c r="O56" s="20">
        <f t="shared" si="38"/>
        <v>2019</v>
      </c>
      <c r="P56" s="20">
        <f t="shared" si="38"/>
        <v>2020</v>
      </c>
      <c r="Q56" s="20">
        <f t="shared" si="38"/>
        <v>2021</v>
      </c>
      <c r="R56" s="20">
        <f t="shared" si="38"/>
        <v>2022</v>
      </c>
      <c r="S56" s="20">
        <f t="shared" si="38"/>
        <v>2023</v>
      </c>
      <c r="T56" s="20">
        <f t="shared" si="38"/>
        <v>2024</v>
      </c>
      <c r="U56" s="21">
        <f t="shared" si="38"/>
        <v>2025</v>
      </c>
    </row>
    <row r="57" spans="2:21" outlineLevel="1" x14ac:dyDescent="0.25">
      <c r="C57" s="22" t="s">
        <v>780</v>
      </c>
      <c r="D57" s="23">
        <f>IF(Duz!D29&gt;0,Duz!D29,0)</f>
        <v>0</v>
      </c>
      <c r="E57" s="24">
        <f>IF(Duz!E29&gt;0,Duz!E29,0)</f>
        <v>0</v>
      </c>
      <c r="F57" s="24">
        <f>IF(Duz!F29&gt;0,Duz!F29,0)</f>
        <v>0</v>
      </c>
      <c r="G57" s="24">
        <f>IF(Duz!G29&gt;0,Duz!G29,0)</f>
        <v>0</v>
      </c>
      <c r="H57" s="24">
        <f>IF(Duz!H29&gt;0,Duz!H29,0)</f>
        <v>0</v>
      </c>
      <c r="I57" s="24">
        <f>IF(Duz!I29&gt;0,Duz!I29,0)</f>
        <v>0</v>
      </c>
      <c r="J57" s="24">
        <f>IF(Duz!J29&gt;0,Duz!J29,0)</f>
        <v>0</v>
      </c>
      <c r="K57" s="538">
        <f>IF(Duz!K29&gt;0,Duz!K29,0)</f>
        <v>49.012</v>
      </c>
      <c r="L57" s="26">
        <f>Sales!E255</f>
        <v>0</v>
      </c>
      <c r="M57" s="27">
        <f>Sales!F255</f>
        <v>0</v>
      </c>
      <c r="N57" s="28">
        <f>Sales!G255</f>
        <v>0</v>
      </c>
      <c r="O57" s="28">
        <f>Sales!H255</f>
        <v>0</v>
      </c>
      <c r="P57" s="28">
        <f>Sales!I255</f>
        <v>0</v>
      </c>
      <c r="Q57" s="28">
        <f>Sales!J255</f>
        <v>0</v>
      </c>
      <c r="R57" s="28">
        <f>Sales!K255</f>
        <v>0</v>
      </c>
      <c r="S57" s="28">
        <f>Sales!L255</f>
        <v>0</v>
      </c>
      <c r="T57" s="28">
        <f>Sales!M255</f>
        <v>0</v>
      </c>
      <c r="U57" s="28">
        <f>Sales!N255</f>
        <v>0</v>
      </c>
    </row>
    <row r="58" spans="2:21" outlineLevel="1" x14ac:dyDescent="0.25">
      <c r="C58" s="29" t="s">
        <v>238</v>
      </c>
      <c r="D58" s="30">
        <f t="shared" ref="D58:K58" si="39">+D92</f>
        <v>6775.5379999999996</v>
      </c>
      <c r="E58" s="31">
        <f t="shared" si="39"/>
        <v>6591.8950000000004</v>
      </c>
      <c r="F58" s="31">
        <f t="shared" si="39"/>
        <v>6936.42</v>
      </c>
      <c r="G58" s="31">
        <f t="shared" si="39"/>
        <v>8437.2389999999996</v>
      </c>
      <c r="H58" s="31">
        <f t="shared" si="39"/>
        <v>10556.861000000001</v>
      </c>
      <c r="I58" s="31">
        <f t="shared" si="39"/>
        <v>11097.710999999999</v>
      </c>
      <c r="J58" s="31">
        <f t="shared" si="39"/>
        <v>12514.032999999999</v>
      </c>
      <c r="K58" s="32">
        <f t="shared" si="39"/>
        <v>14166.1</v>
      </c>
      <c r="L58" s="33">
        <f>Sales!E154</f>
        <v>15887.936510951396</v>
      </c>
      <c r="M58" s="33">
        <f>Sales!F154</f>
        <v>17657.550911746246</v>
      </c>
      <c r="N58" s="33">
        <f>Sales!G154</f>
        <v>19444.673690891348</v>
      </c>
      <c r="O58" s="33">
        <f>Sales!H154</f>
        <v>21416.837089600605</v>
      </c>
      <c r="P58" s="33">
        <f>Sales!I154</f>
        <v>23593.578072421064</v>
      </c>
      <c r="Q58" s="33">
        <f>Sales!J154</f>
        <v>25938.916071454521</v>
      </c>
      <c r="R58" s="33">
        <f>Sales!K154</f>
        <v>28081.168950086354</v>
      </c>
      <c r="S58" s="33">
        <f>Sales!L154</f>
        <v>30213.732173147568</v>
      </c>
      <c r="T58" s="33">
        <f>Sales!M154</f>
        <v>32300.616337178635</v>
      </c>
      <c r="U58" s="33">
        <f>Sales!N154</f>
        <v>34533.888102892684</v>
      </c>
    </row>
    <row r="59" spans="2:21" outlineLevel="1" x14ac:dyDescent="0.25">
      <c r="C59" s="35" t="s">
        <v>1063</v>
      </c>
      <c r="D59" s="36">
        <f>D57/D58</f>
        <v>0</v>
      </c>
      <c r="E59" s="37">
        <f t="shared" ref="E59:K59" si="40">E57/E58</f>
        <v>0</v>
      </c>
      <c r="F59" s="37">
        <f t="shared" si="40"/>
        <v>0</v>
      </c>
      <c r="G59" s="37">
        <f t="shared" si="40"/>
        <v>0</v>
      </c>
      <c r="H59" s="37">
        <f t="shared" si="40"/>
        <v>0</v>
      </c>
      <c r="I59" s="37">
        <f t="shared" si="40"/>
        <v>0</v>
      </c>
      <c r="J59" s="37">
        <f t="shared" si="40"/>
        <v>0</v>
      </c>
      <c r="K59" s="38">
        <f t="shared" si="40"/>
        <v>3.4598089805945179E-3</v>
      </c>
      <c r="L59" s="39"/>
      <c r="M59" s="39"/>
      <c r="N59" s="39"/>
      <c r="O59" s="39"/>
      <c r="P59" s="39"/>
      <c r="Q59" s="39"/>
      <c r="R59" s="39"/>
      <c r="S59" s="39"/>
      <c r="T59" s="39"/>
      <c r="U59" s="39"/>
    </row>
    <row r="60" spans="2:21" outlineLevel="1" x14ac:dyDescent="0.25">
      <c r="C60" s="4"/>
      <c r="D60" s="55"/>
      <c r="E60" s="55"/>
      <c r="F60" s="55"/>
      <c r="G60" s="4"/>
      <c r="H60" s="4"/>
      <c r="I60" s="4"/>
      <c r="J60" s="4"/>
      <c r="K60" s="4"/>
      <c r="L60" s="4"/>
      <c r="M60" s="4"/>
      <c r="N60" s="4"/>
      <c r="O60" s="4"/>
      <c r="P60" s="4"/>
      <c r="Q60" s="4"/>
      <c r="R60" s="4"/>
    </row>
    <row r="61" spans="2:21" outlineLevel="1" x14ac:dyDescent="0.25">
      <c r="C61" s="40" t="s">
        <v>1064</v>
      </c>
      <c r="D61" s="848">
        <f>MIN(D59:K59)</f>
        <v>0</v>
      </c>
      <c r="E61" s="55"/>
      <c r="F61" s="55"/>
      <c r="G61" s="6"/>
      <c r="H61" s="6"/>
      <c r="I61" s="6"/>
      <c r="J61" s="6"/>
      <c r="K61" s="6"/>
      <c r="L61" s="6"/>
      <c r="M61" s="6"/>
      <c r="N61" s="6"/>
      <c r="O61" s="6"/>
      <c r="P61" s="6"/>
      <c r="Q61" s="6"/>
      <c r="R61" s="6"/>
    </row>
    <row r="62" spans="2:21" ht="15.75" outlineLevel="1" thickBot="1" x14ac:dyDescent="0.3">
      <c r="C62" s="40" t="s">
        <v>1065</v>
      </c>
      <c r="D62" s="848">
        <f>MAX(D59:K59)</f>
        <v>3.4598089805945179E-3</v>
      </c>
      <c r="E62" s="55"/>
      <c r="F62" s="55"/>
      <c r="G62" s="6"/>
      <c r="H62" s="6"/>
      <c r="I62" s="41">
        <f>LEFT(K56,4)+1</f>
        <v>2016</v>
      </c>
      <c r="J62" s="42">
        <f t="shared" ref="J62:R62" si="41">I62+1</f>
        <v>2017</v>
      </c>
      <c r="K62" s="42">
        <f t="shared" si="41"/>
        <v>2018</v>
      </c>
      <c r="L62" s="42">
        <f t="shared" si="41"/>
        <v>2019</v>
      </c>
      <c r="M62" s="42">
        <f t="shared" si="41"/>
        <v>2020</v>
      </c>
      <c r="N62" s="42">
        <f t="shared" si="41"/>
        <v>2021</v>
      </c>
      <c r="O62" s="42">
        <f t="shared" si="41"/>
        <v>2022</v>
      </c>
      <c r="P62" s="42">
        <f t="shared" si="41"/>
        <v>2023</v>
      </c>
      <c r="Q62" s="42">
        <f t="shared" si="41"/>
        <v>2024</v>
      </c>
      <c r="R62" s="42">
        <f t="shared" si="41"/>
        <v>2025</v>
      </c>
      <c r="S62" s="43" t="s">
        <v>267</v>
      </c>
    </row>
    <row r="63" spans="2:21" outlineLevel="1" x14ac:dyDescent="0.25">
      <c r="C63" s="40" t="s">
        <v>1066</v>
      </c>
      <c r="D63" s="848">
        <f>AVERAGE(D59:K59)</f>
        <v>4.3247612257431474E-4</v>
      </c>
      <c r="E63" s="55"/>
      <c r="F63" s="55"/>
      <c r="G63" s="2107" t="s">
        <v>1006</v>
      </c>
      <c r="H63" s="44" t="s">
        <v>1063</v>
      </c>
      <c r="I63" s="45">
        <f>K59</f>
        <v>3.4598089805945179E-3</v>
      </c>
      <c r="J63" s="46">
        <f>I63</f>
        <v>3.4598089805945179E-3</v>
      </c>
      <c r="K63" s="46">
        <f>J63</f>
        <v>3.4598089805945179E-3</v>
      </c>
      <c r="L63" s="46">
        <f>K63</f>
        <v>3.4598089805945179E-3</v>
      </c>
      <c r="M63" s="46">
        <f>L63</f>
        <v>3.4598089805945179E-3</v>
      </c>
      <c r="N63" s="46">
        <f>M63-($M$30-$R$30)/5</f>
        <v>3.4598089805945179E-3</v>
      </c>
      <c r="O63" s="46">
        <f>N63-($M$30-$R$30)/5</f>
        <v>3.4598089805945179E-3</v>
      </c>
      <c r="P63" s="46">
        <f>O63-($M$30-$R$30)/5</f>
        <v>3.4598089805945179E-3</v>
      </c>
      <c r="Q63" s="46">
        <f>P63-($M$30-$R$30)/5</f>
        <v>3.4598089805945179E-3</v>
      </c>
      <c r="R63" s="46">
        <f>Q63-($M$30-$R$30)/5</f>
        <v>3.4598089805945179E-3</v>
      </c>
      <c r="S63" s="47"/>
    </row>
    <row r="64" spans="2:21" ht="15.75" outlineLevel="1" thickBot="1" x14ac:dyDescent="0.3">
      <c r="C64" s="40" t="s">
        <v>1067</v>
      </c>
      <c r="D64" s="848">
        <f>MEDIAN(D59:K59)</f>
        <v>0</v>
      </c>
      <c r="E64" s="55"/>
      <c r="F64" s="55"/>
      <c r="G64" s="2108"/>
      <c r="H64" s="48" t="s">
        <v>1063</v>
      </c>
      <c r="I64" s="49">
        <f t="shared" ref="I64:R64" si="42">I63*L58</f>
        <v>54.969225423705176</v>
      </c>
      <c r="J64" s="50">
        <f t="shared" si="42"/>
        <v>61.091753219764577</v>
      </c>
      <c r="K64" s="50">
        <f t="shared" si="42"/>
        <v>67.274856660475834</v>
      </c>
      <c r="L64" s="50">
        <f t="shared" si="42"/>
        <v>74.098165298529935</v>
      </c>
      <c r="M64" s="50">
        <f t="shared" si="42"/>
        <v>81.629273299320289</v>
      </c>
      <c r="N64" s="50">
        <f t="shared" si="42"/>
        <v>89.743694770905819</v>
      </c>
      <c r="O64" s="50">
        <f t="shared" si="42"/>
        <v>97.155480519100692</v>
      </c>
      <c r="P64" s="50">
        <f t="shared" si="42"/>
        <v>104.53374190993347</v>
      </c>
      <c r="Q64" s="50">
        <f t="shared" si="42"/>
        <v>111.75396248210865</v>
      </c>
      <c r="R64" s="50">
        <f t="shared" si="42"/>
        <v>119.48065619323428</v>
      </c>
      <c r="S64" s="51"/>
    </row>
    <row r="65" spans="2:21" outlineLevel="1" x14ac:dyDescent="0.25">
      <c r="C65" s="40" t="s">
        <v>1068</v>
      </c>
      <c r="D65" s="848">
        <f>SUMPRODUCT(D59:K59,D55:K55)/SUM(D55:K55)</f>
        <v>7.6884644013211511E-4</v>
      </c>
      <c r="E65" s="55"/>
      <c r="F65" s="55"/>
      <c r="G65" s="6"/>
      <c r="H65" s="6"/>
      <c r="I65" s="6"/>
      <c r="J65" s="6"/>
      <c r="K65" s="6"/>
      <c r="L65" s="6"/>
      <c r="M65" s="6"/>
      <c r="N65" s="6"/>
      <c r="O65" s="6"/>
      <c r="P65" s="6"/>
      <c r="Q65" s="6"/>
      <c r="R65" s="6"/>
    </row>
    <row r="66" spans="2:21" ht="13.15" customHeight="1" outlineLevel="1" x14ac:dyDescent="0.25">
      <c r="C66" s="4"/>
      <c r="D66" s="847"/>
      <c r="E66" s="847"/>
      <c r="F66" s="847"/>
      <c r="G66" s="12"/>
      <c r="H66" s="12"/>
      <c r="I66" s="12"/>
      <c r="J66" s="12"/>
      <c r="K66" s="12"/>
      <c r="L66" s="4"/>
      <c r="M66" s="4"/>
      <c r="N66" s="4"/>
      <c r="O66" s="4"/>
      <c r="P66" s="4"/>
      <c r="Q66" s="4"/>
      <c r="R66" s="4"/>
    </row>
    <row r="67" spans="2:21" ht="13.15" customHeight="1" outlineLevel="1" x14ac:dyDescent="0.25">
      <c r="C67" s="4"/>
      <c r="D67" s="847">
        <v>1</v>
      </c>
      <c r="E67" s="847">
        <f t="shared" ref="E67" si="43">D67+1</f>
        <v>2</v>
      </c>
      <c r="F67" s="847">
        <f t="shared" ref="F67" si="44">E67+1</f>
        <v>3</v>
      </c>
      <c r="G67" s="12">
        <f t="shared" ref="G67" si="45">F67+1</f>
        <v>4</v>
      </c>
      <c r="H67" s="12">
        <f t="shared" ref="H67" si="46">G67+1</f>
        <v>5</v>
      </c>
      <c r="I67" s="12">
        <f t="shared" ref="I67" si="47">H67+1</f>
        <v>6</v>
      </c>
      <c r="J67" s="12">
        <f t="shared" ref="J67" si="48">I67+1</f>
        <v>7</v>
      </c>
      <c r="K67" s="12">
        <f t="shared" ref="K67" si="49">J67+1</f>
        <v>8</v>
      </c>
      <c r="L67" s="4"/>
      <c r="M67" s="4"/>
      <c r="N67" s="4"/>
      <c r="O67" s="4"/>
      <c r="P67" s="4"/>
      <c r="Q67" s="4"/>
      <c r="R67" s="4"/>
    </row>
    <row r="68" spans="2:21" ht="15.75" outlineLevel="1" thickBot="1" x14ac:dyDescent="0.3">
      <c r="B68" s="53" t="s">
        <v>825</v>
      </c>
      <c r="C68" s="52" t="s">
        <v>11</v>
      </c>
      <c r="D68" s="15" t="str">
        <f t="shared" ref="D68:J68" si="50">+D45</f>
        <v>2008/12</v>
      </c>
      <c r="E68" s="16" t="str">
        <f t="shared" si="50"/>
        <v>2009/12</v>
      </c>
      <c r="F68" s="16" t="str">
        <f t="shared" si="50"/>
        <v>2010/12</v>
      </c>
      <c r="G68" s="16" t="str">
        <f t="shared" si="50"/>
        <v>2011/12</v>
      </c>
      <c r="H68" s="16" t="str">
        <f t="shared" si="50"/>
        <v>2012/12</v>
      </c>
      <c r="I68" s="16" t="str">
        <f t="shared" si="50"/>
        <v>2013/12</v>
      </c>
      <c r="J68" s="16" t="str">
        <f t="shared" si="50"/>
        <v>2014/12</v>
      </c>
      <c r="K68" s="18" t="str">
        <f>+K45</f>
        <v>2015/12</v>
      </c>
      <c r="L68" s="19">
        <f>LEFT(K68,4)+1</f>
        <v>2016</v>
      </c>
      <c r="M68" s="20">
        <f t="shared" ref="M68:U68" si="51">L68+1</f>
        <v>2017</v>
      </c>
      <c r="N68" s="20">
        <f t="shared" si="51"/>
        <v>2018</v>
      </c>
      <c r="O68" s="20">
        <f t="shared" si="51"/>
        <v>2019</v>
      </c>
      <c r="P68" s="20">
        <f t="shared" si="51"/>
        <v>2020</v>
      </c>
      <c r="Q68" s="20">
        <f t="shared" si="51"/>
        <v>2021</v>
      </c>
      <c r="R68" s="20">
        <f t="shared" si="51"/>
        <v>2022</v>
      </c>
      <c r="S68" s="20">
        <f t="shared" si="51"/>
        <v>2023</v>
      </c>
      <c r="T68" s="20">
        <f t="shared" si="51"/>
        <v>2024</v>
      </c>
      <c r="U68" s="21">
        <f t="shared" si="51"/>
        <v>2025</v>
      </c>
    </row>
    <row r="69" spans="2:21" outlineLevel="1" x14ac:dyDescent="0.25">
      <c r="C69" s="22" t="s">
        <v>1035</v>
      </c>
      <c r="D69" s="23">
        <f>+Mali!C27</f>
        <v>705.327</v>
      </c>
      <c r="E69" s="24">
        <f>+Mali!D27</f>
        <v>762.40200000000004</v>
      </c>
      <c r="F69" s="24">
        <f>+Mali!E27</f>
        <v>968.96199999999999</v>
      </c>
      <c r="G69" s="24">
        <f>+Mali!F27</f>
        <v>1249.5309999999999</v>
      </c>
      <c r="H69" s="24">
        <f>+Mali!G27</f>
        <v>1175.8040000000001</v>
      </c>
      <c r="I69" s="24">
        <f>+Mali!H27</f>
        <v>1644.9</v>
      </c>
      <c r="J69" s="24">
        <f>+Mali!I27</f>
        <v>1781.442</v>
      </c>
      <c r="K69" s="25">
        <f>+Mali!J27</f>
        <v>2090.3939999999998</v>
      </c>
      <c r="L69" s="26">
        <f>Sales!E211</f>
        <v>0</v>
      </c>
      <c r="M69" s="27">
        <f>Sales!F211</f>
        <v>0</v>
      </c>
      <c r="N69" s="28">
        <f>Sales!G211</f>
        <v>0</v>
      </c>
      <c r="O69" s="28">
        <f>Sales!H211</f>
        <v>0</v>
      </c>
      <c r="P69" s="28">
        <f>Sales!I211</f>
        <v>0</v>
      </c>
      <c r="Q69" s="28">
        <f>Sales!J211</f>
        <v>0</v>
      </c>
      <c r="R69" s="28">
        <f>Sales!K211</f>
        <v>0</v>
      </c>
      <c r="S69" s="28">
        <f>Sales!L211</f>
        <v>0</v>
      </c>
      <c r="T69" s="28">
        <f>Sales!M211</f>
        <v>0</v>
      </c>
      <c r="U69" s="28">
        <f>Sales!N211</f>
        <v>0</v>
      </c>
    </row>
    <row r="70" spans="2:21" outlineLevel="1" x14ac:dyDescent="0.25">
      <c r="C70" s="29" t="s">
        <v>238</v>
      </c>
      <c r="D70" s="30">
        <f>+D47</f>
        <v>6775.5379999999996</v>
      </c>
      <c r="E70" s="31">
        <f t="shared" ref="E70:K70" si="52">+E47</f>
        <v>6591.8950000000004</v>
      </c>
      <c r="F70" s="31">
        <f t="shared" si="52"/>
        <v>6936.42</v>
      </c>
      <c r="G70" s="31">
        <f t="shared" si="52"/>
        <v>8437.2389999999996</v>
      </c>
      <c r="H70" s="31">
        <f t="shared" si="52"/>
        <v>10556.861000000001</v>
      </c>
      <c r="I70" s="31">
        <f t="shared" si="52"/>
        <v>11097.710999999999</v>
      </c>
      <c r="J70" s="31">
        <f t="shared" si="52"/>
        <v>12514.032999999999</v>
      </c>
      <c r="K70" s="32">
        <f t="shared" si="52"/>
        <v>14166.1</v>
      </c>
      <c r="L70" s="33">
        <f>Sales!E154</f>
        <v>15887.936510951396</v>
      </c>
      <c r="M70" s="34">
        <f>Sales!F154</f>
        <v>17657.550911746246</v>
      </c>
      <c r="N70" s="34">
        <f>Sales!G154</f>
        <v>19444.673690891348</v>
      </c>
      <c r="O70" s="34">
        <f>Sales!H154</f>
        <v>21416.837089600605</v>
      </c>
      <c r="P70" s="34">
        <f>Sales!I154</f>
        <v>23593.578072421064</v>
      </c>
      <c r="Q70" s="34">
        <f>Sales!J154</f>
        <v>25938.916071454521</v>
      </c>
      <c r="R70" s="34">
        <f>Sales!K154</f>
        <v>28081.168950086354</v>
      </c>
      <c r="S70" s="34">
        <f>Sales!L154</f>
        <v>30213.732173147568</v>
      </c>
      <c r="T70" s="34">
        <f>Sales!M154</f>
        <v>32300.616337178635</v>
      </c>
      <c r="U70" s="34">
        <f>Sales!N154</f>
        <v>34533.888102892684</v>
      </c>
    </row>
    <row r="71" spans="2:21" outlineLevel="1" x14ac:dyDescent="0.25">
      <c r="C71" s="35" t="s">
        <v>1036</v>
      </c>
      <c r="D71" s="36">
        <f>D69/D70</f>
        <v>0.10409903981056561</v>
      </c>
      <c r="E71" s="37">
        <f t="shared" ref="E71:K71" si="53">E69/E70</f>
        <v>0.11565748544235004</v>
      </c>
      <c r="F71" s="37">
        <f t="shared" si="53"/>
        <v>0.13969194483609701</v>
      </c>
      <c r="G71" s="37">
        <f t="shared" si="53"/>
        <v>0.14809714410128716</v>
      </c>
      <c r="H71" s="37">
        <f t="shared" si="53"/>
        <v>0.11137818334446195</v>
      </c>
      <c r="I71" s="37">
        <f t="shared" si="53"/>
        <v>0.14821975450613195</v>
      </c>
      <c r="J71" s="37">
        <f t="shared" si="53"/>
        <v>0.14235554596987238</v>
      </c>
      <c r="K71" s="38">
        <f t="shared" si="53"/>
        <v>0.14756312605445393</v>
      </c>
      <c r="L71" s="39"/>
      <c r="M71" s="39"/>
      <c r="N71" s="39"/>
      <c r="O71" s="39"/>
      <c r="P71" s="39"/>
      <c r="Q71" s="39"/>
      <c r="R71" s="39"/>
      <c r="S71" s="39"/>
      <c r="T71" s="39"/>
      <c r="U71" s="39"/>
    </row>
    <row r="72" spans="2:21" outlineLevel="1" x14ac:dyDescent="0.25">
      <c r="C72" s="4"/>
      <c r="D72" s="55"/>
      <c r="E72" s="55"/>
      <c r="F72" s="55"/>
      <c r="G72" s="4"/>
      <c r="H72" s="4"/>
      <c r="I72" s="4"/>
      <c r="J72" s="4"/>
      <c r="K72" s="4"/>
      <c r="L72" s="4"/>
      <c r="M72" s="4"/>
      <c r="N72" s="4"/>
      <c r="O72" s="4"/>
      <c r="P72" s="4"/>
      <c r="Q72" s="4"/>
      <c r="R72" s="4"/>
    </row>
    <row r="73" spans="2:21" outlineLevel="1" x14ac:dyDescent="0.25">
      <c r="C73" s="40" t="s">
        <v>1037</v>
      </c>
      <c r="D73" s="848">
        <f>MIN(D71:K71)</f>
        <v>0.10409903981056561</v>
      </c>
      <c r="E73" s="55"/>
      <c r="F73" s="55"/>
      <c r="G73" s="6"/>
      <c r="H73" s="6"/>
      <c r="I73" s="6"/>
      <c r="J73" s="6"/>
      <c r="K73" s="6"/>
      <c r="L73" s="6"/>
      <c r="M73" s="6"/>
      <c r="N73" s="6"/>
      <c r="O73" s="6"/>
      <c r="P73" s="6"/>
      <c r="Q73" s="6"/>
      <c r="R73" s="6"/>
    </row>
    <row r="74" spans="2:21" ht="15.75" outlineLevel="1" thickBot="1" x14ac:dyDescent="0.3">
      <c r="C74" s="40" t="s">
        <v>1038</v>
      </c>
      <c r="D74" s="848">
        <f>MAX(D71:K71)</f>
        <v>0.14821975450613195</v>
      </c>
      <c r="E74" s="55"/>
      <c r="F74" s="55"/>
      <c r="G74" s="6"/>
      <c r="H74" s="6"/>
      <c r="I74" s="41">
        <f>LEFT(K68,4)+1</f>
        <v>2016</v>
      </c>
      <c r="J74" s="42">
        <f t="shared" ref="J74:R74" si="54">I74+1</f>
        <v>2017</v>
      </c>
      <c r="K74" s="42">
        <f t="shared" si="54"/>
        <v>2018</v>
      </c>
      <c r="L74" s="42">
        <f t="shared" si="54"/>
        <v>2019</v>
      </c>
      <c r="M74" s="42">
        <f t="shared" si="54"/>
        <v>2020</v>
      </c>
      <c r="N74" s="42">
        <f t="shared" si="54"/>
        <v>2021</v>
      </c>
      <c r="O74" s="42">
        <f t="shared" si="54"/>
        <v>2022</v>
      </c>
      <c r="P74" s="42">
        <f t="shared" si="54"/>
        <v>2023</v>
      </c>
      <c r="Q74" s="42">
        <f t="shared" si="54"/>
        <v>2024</v>
      </c>
      <c r="R74" s="42">
        <f t="shared" si="54"/>
        <v>2025</v>
      </c>
      <c r="S74" s="43" t="s">
        <v>267</v>
      </c>
    </row>
    <row r="75" spans="2:21" outlineLevel="1" x14ac:dyDescent="0.25">
      <c r="C75" s="40" t="s">
        <v>1039</v>
      </c>
      <c r="D75" s="848">
        <f>AVERAGE(D71:K71)</f>
        <v>0.13213277800815251</v>
      </c>
      <c r="E75" s="55"/>
      <c r="F75" s="55"/>
      <c r="G75" s="2107" t="s">
        <v>1006</v>
      </c>
      <c r="H75" s="44" t="s">
        <v>1036</v>
      </c>
      <c r="I75" s="45">
        <f>K71</f>
        <v>0.14756312605445393</v>
      </c>
      <c r="J75" s="46">
        <f>I75</f>
        <v>0.14756312605445393</v>
      </c>
      <c r="K75" s="46">
        <f>J75</f>
        <v>0.14756312605445393</v>
      </c>
      <c r="L75" s="46">
        <f>K75</f>
        <v>0.14756312605445393</v>
      </c>
      <c r="M75" s="46">
        <f>L75</f>
        <v>0.14756312605445393</v>
      </c>
      <c r="N75" s="46">
        <f>M75-($M$30-$R$30)/5</f>
        <v>0.14756312605445393</v>
      </c>
      <c r="O75" s="46">
        <f>N75-($M$30-$R$30)/5</f>
        <v>0.14756312605445393</v>
      </c>
      <c r="P75" s="46">
        <f>O75-($M$30-$R$30)/5</f>
        <v>0.14756312605445393</v>
      </c>
      <c r="Q75" s="46">
        <f>P75-($M$30-$R$30)/5</f>
        <v>0.14756312605445393</v>
      </c>
      <c r="R75" s="46">
        <f>Q75-($M$30-$R$30)/5</f>
        <v>0.14756312605445393</v>
      </c>
      <c r="S75" s="47"/>
    </row>
    <row r="76" spans="2:21" ht="15.75" outlineLevel="1" thickBot="1" x14ac:dyDescent="0.3">
      <c r="C76" s="40" t="s">
        <v>1040</v>
      </c>
      <c r="D76" s="848">
        <f>MEDIAN(D71:K71)</f>
        <v>0.14102374540298468</v>
      </c>
      <c r="E76" s="55"/>
      <c r="F76" s="55"/>
      <c r="G76" s="2108"/>
      <c r="H76" s="48" t="s">
        <v>1036</v>
      </c>
      <c r="I76" s="49">
        <f t="shared" ref="I76:R76" si="55">I75*L70</f>
        <v>2344.473578110682</v>
      </c>
      <c r="J76" s="50">
        <f t="shared" si="55"/>
        <v>2605.6034110029491</v>
      </c>
      <c r="K76" s="50">
        <f t="shared" si="55"/>
        <v>2869.3168349367238</v>
      </c>
      <c r="L76" s="50">
        <f t="shared" si="55"/>
        <v>3160.3354311404382</v>
      </c>
      <c r="M76" s="50">
        <f t="shared" si="55"/>
        <v>3481.5421351762698</v>
      </c>
      <c r="N76" s="50">
        <f t="shared" si="55"/>
        <v>3827.6275419679446</v>
      </c>
      <c r="O76" s="50">
        <f t="shared" si="55"/>
        <v>4143.7450735380107</v>
      </c>
      <c r="P76" s="50">
        <f t="shared" si="55"/>
        <v>4458.4327692416846</v>
      </c>
      <c r="Q76" s="50">
        <f t="shared" si="55"/>
        <v>4766.3799201996453</v>
      </c>
      <c r="R76" s="50">
        <f t="shared" si="55"/>
        <v>5095.9284832775602</v>
      </c>
      <c r="S76" s="51"/>
    </row>
    <row r="77" spans="2:21" outlineLevel="1" x14ac:dyDescent="0.25">
      <c r="C77" s="40" t="s">
        <v>1041</v>
      </c>
      <c r="D77" s="848">
        <f>SUMPRODUCT(D71:K71,D67:K67)/SUM(D67:K67)</f>
        <v>0.13805782487757068</v>
      </c>
      <c r="E77" s="55"/>
      <c r="F77" s="55"/>
      <c r="G77" s="6"/>
      <c r="H77" s="6"/>
      <c r="I77" s="6"/>
      <c r="J77" s="6"/>
      <c r="K77" s="6"/>
      <c r="L77" s="6"/>
      <c r="M77" s="6"/>
      <c r="N77" s="6"/>
      <c r="O77" s="6"/>
      <c r="P77" s="6"/>
      <c r="Q77" s="6"/>
      <c r="R77" s="6"/>
    </row>
    <row r="78" spans="2:21" ht="13.15" customHeight="1" outlineLevel="1" x14ac:dyDescent="0.25">
      <c r="C78" s="4"/>
      <c r="D78" s="847">
        <v>1</v>
      </c>
      <c r="E78" s="847">
        <f t="shared" ref="E78:K78" si="56">D78+1</f>
        <v>2</v>
      </c>
      <c r="F78" s="847">
        <f t="shared" si="56"/>
        <v>3</v>
      </c>
      <c r="G78" s="12">
        <f t="shared" si="56"/>
        <v>4</v>
      </c>
      <c r="H78" s="12">
        <f t="shared" si="56"/>
        <v>5</v>
      </c>
      <c r="I78" s="12">
        <f t="shared" si="56"/>
        <v>6</v>
      </c>
      <c r="J78" s="12">
        <f t="shared" si="56"/>
        <v>7</v>
      </c>
      <c r="K78" s="12">
        <f t="shared" si="56"/>
        <v>8</v>
      </c>
      <c r="L78" s="4"/>
      <c r="M78" s="4"/>
      <c r="N78" s="4"/>
      <c r="O78" s="4"/>
      <c r="P78" s="4"/>
      <c r="Q78" s="4"/>
      <c r="R78" s="4"/>
    </row>
    <row r="79" spans="2:21" ht="15.75" outlineLevel="1" thickBot="1" x14ac:dyDescent="0.3">
      <c r="B79" s="53" t="s">
        <v>825</v>
      </c>
      <c r="C79" s="52" t="s">
        <v>102</v>
      </c>
      <c r="D79" s="15" t="str">
        <f t="shared" ref="D79:J79" si="57">+D68</f>
        <v>2008/12</v>
      </c>
      <c r="E79" s="16" t="str">
        <f t="shared" si="57"/>
        <v>2009/12</v>
      </c>
      <c r="F79" s="16" t="str">
        <f t="shared" si="57"/>
        <v>2010/12</v>
      </c>
      <c r="G79" s="16" t="str">
        <f t="shared" si="57"/>
        <v>2011/12</v>
      </c>
      <c r="H79" s="16" t="str">
        <f t="shared" si="57"/>
        <v>2012/12</v>
      </c>
      <c r="I79" s="16" t="str">
        <f t="shared" si="57"/>
        <v>2013/12</v>
      </c>
      <c r="J79" s="16" t="str">
        <f t="shared" si="57"/>
        <v>2014/12</v>
      </c>
      <c r="K79" s="18" t="str">
        <f>+K68</f>
        <v>2015/12</v>
      </c>
      <c r="L79" s="19">
        <f>LEFT(K79,4)+1</f>
        <v>2016</v>
      </c>
      <c r="M79" s="20">
        <f t="shared" ref="M79:U79" si="58">L79+1</f>
        <v>2017</v>
      </c>
      <c r="N79" s="20">
        <f t="shared" si="58"/>
        <v>2018</v>
      </c>
      <c r="O79" s="20">
        <f t="shared" si="58"/>
        <v>2019</v>
      </c>
      <c r="P79" s="20">
        <f t="shared" si="58"/>
        <v>2020</v>
      </c>
      <c r="Q79" s="20">
        <f t="shared" si="58"/>
        <v>2021</v>
      </c>
      <c r="R79" s="20">
        <f t="shared" si="58"/>
        <v>2022</v>
      </c>
      <c r="S79" s="20">
        <f t="shared" si="58"/>
        <v>2023</v>
      </c>
      <c r="T79" s="20">
        <f t="shared" si="58"/>
        <v>2024</v>
      </c>
      <c r="U79" s="21">
        <f t="shared" si="58"/>
        <v>2025</v>
      </c>
    </row>
    <row r="80" spans="2:21" outlineLevel="1" x14ac:dyDescent="0.25">
      <c r="C80" s="22" t="s">
        <v>102</v>
      </c>
      <c r="D80" s="23">
        <f>+OMali!C21</f>
        <v>435.69100000000026</v>
      </c>
      <c r="E80" s="24">
        <f>+OMali!D21</f>
        <v>492.83599999999979</v>
      </c>
      <c r="F80" s="24">
        <f>+OMali!E21</f>
        <v>533.56800000000021</v>
      </c>
      <c r="G80" s="24">
        <f>+OMali!F21</f>
        <v>651.95100000000002</v>
      </c>
      <c r="H80" s="24">
        <f>+OMali!G21</f>
        <v>625.8720000000003</v>
      </c>
      <c r="I80" s="24">
        <f>+OMali!H21</f>
        <v>758.36700000000019</v>
      </c>
      <c r="J80" s="24">
        <f>+OMali!I21</f>
        <v>842.92699999999968</v>
      </c>
      <c r="K80" s="25">
        <f>+OMali!J21</f>
        <v>957.89800000000014</v>
      </c>
      <c r="L80" s="26">
        <f>Sales!E222</f>
        <v>0</v>
      </c>
      <c r="M80" s="27">
        <f>Sales!F222</f>
        <v>0</v>
      </c>
      <c r="N80" s="28">
        <f>Sales!G222</f>
        <v>0</v>
      </c>
      <c r="O80" s="28">
        <f>Sales!H222</f>
        <v>0</v>
      </c>
      <c r="P80" s="28">
        <f>Sales!I222</f>
        <v>0</v>
      </c>
      <c r="Q80" s="28">
        <f>Sales!J222</f>
        <v>0</v>
      </c>
      <c r="R80" s="28">
        <f>Sales!K222</f>
        <v>0</v>
      </c>
      <c r="S80" s="28">
        <f>Sales!L222</f>
        <v>0</v>
      </c>
      <c r="T80" s="28">
        <f>Sales!M222</f>
        <v>0</v>
      </c>
      <c r="U80" s="28">
        <f>Sales!N222</f>
        <v>0</v>
      </c>
    </row>
    <row r="81" spans="2:21" outlineLevel="1" x14ac:dyDescent="0.25">
      <c r="C81" s="29" t="s">
        <v>238</v>
      </c>
      <c r="D81" s="30">
        <f>+D70</f>
        <v>6775.5379999999996</v>
      </c>
      <c r="E81" s="31">
        <f t="shared" ref="E81:K81" si="59">+E70</f>
        <v>6591.8950000000004</v>
      </c>
      <c r="F81" s="31">
        <f t="shared" si="59"/>
        <v>6936.42</v>
      </c>
      <c r="G81" s="31">
        <f t="shared" si="59"/>
        <v>8437.2389999999996</v>
      </c>
      <c r="H81" s="31">
        <f t="shared" si="59"/>
        <v>10556.861000000001</v>
      </c>
      <c r="I81" s="31">
        <f t="shared" si="59"/>
        <v>11097.710999999999</v>
      </c>
      <c r="J81" s="31">
        <f t="shared" si="59"/>
        <v>12514.032999999999</v>
      </c>
      <c r="K81" s="32">
        <f t="shared" si="59"/>
        <v>14166.1</v>
      </c>
      <c r="L81" s="33">
        <f>Sales!E154</f>
        <v>15887.936510951396</v>
      </c>
      <c r="M81" s="33">
        <f>Sales!F154</f>
        <v>17657.550911746246</v>
      </c>
      <c r="N81" s="33">
        <f>Sales!G154</f>
        <v>19444.673690891348</v>
      </c>
      <c r="O81" s="33">
        <f>Sales!H154</f>
        <v>21416.837089600605</v>
      </c>
      <c r="P81" s="33">
        <f>Sales!I154</f>
        <v>23593.578072421064</v>
      </c>
      <c r="Q81" s="33">
        <f>Sales!J154</f>
        <v>25938.916071454521</v>
      </c>
      <c r="R81" s="33">
        <f>Sales!K154</f>
        <v>28081.168950086354</v>
      </c>
      <c r="S81" s="33">
        <f>Sales!L154</f>
        <v>30213.732173147568</v>
      </c>
      <c r="T81" s="33">
        <f>Sales!M154</f>
        <v>32300.616337178635</v>
      </c>
      <c r="U81" s="33">
        <f>Sales!N154</f>
        <v>34533.888102892684</v>
      </c>
    </row>
    <row r="82" spans="2:21" outlineLevel="1" x14ac:dyDescent="0.25">
      <c r="C82" s="35" t="s">
        <v>1042</v>
      </c>
      <c r="D82" s="36">
        <f>D80/D81</f>
        <v>6.4303528369260163E-2</v>
      </c>
      <c r="E82" s="37">
        <f t="shared" ref="E82:K82" si="60">E80/E81</f>
        <v>7.4763933588141152E-2</v>
      </c>
      <c r="F82" s="37">
        <f t="shared" si="60"/>
        <v>7.6922677692527294E-2</v>
      </c>
      <c r="G82" s="37">
        <f t="shared" si="60"/>
        <v>7.7270656905653615E-2</v>
      </c>
      <c r="H82" s="37">
        <f t="shared" si="60"/>
        <v>5.9285804748210692E-2</v>
      </c>
      <c r="I82" s="37">
        <f t="shared" si="60"/>
        <v>6.8335443227887288E-2</v>
      </c>
      <c r="J82" s="37">
        <f t="shared" si="60"/>
        <v>6.7358540607971848E-2</v>
      </c>
      <c r="K82" s="38">
        <f t="shared" si="60"/>
        <v>6.7619034173131642E-2</v>
      </c>
      <c r="L82" s="39"/>
      <c r="M82" s="39"/>
      <c r="N82" s="39"/>
      <c r="O82" s="39"/>
      <c r="P82" s="39"/>
      <c r="Q82" s="39"/>
      <c r="R82" s="39"/>
      <c r="S82" s="39"/>
      <c r="T82" s="39"/>
      <c r="U82" s="39"/>
    </row>
    <row r="83" spans="2:21" outlineLevel="1" x14ac:dyDescent="0.25">
      <c r="C83" s="4"/>
      <c r="D83" s="55"/>
      <c r="E83" s="55"/>
      <c r="F83" s="55"/>
      <c r="G83" s="4"/>
      <c r="H83" s="4"/>
      <c r="I83" s="4"/>
      <c r="J83" s="4"/>
      <c r="K83" s="4"/>
      <c r="L83" s="4"/>
      <c r="M83" s="4"/>
      <c r="N83" s="4"/>
      <c r="O83" s="4"/>
      <c r="P83" s="4"/>
      <c r="Q83" s="4"/>
      <c r="R83" s="4"/>
    </row>
    <row r="84" spans="2:21" outlineLevel="1" x14ac:dyDescent="0.25">
      <c r="C84" s="40" t="s">
        <v>1043</v>
      </c>
      <c r="D84" s="848">
        <f>MIN(D82:K82)</f>
        <v>5.9285804748210692E-2</v>
      </c>
      <c r="E84" s="55"/>
      <c r="F84" s="55"/>
      <c r="G84" s="6"/>
      <c r="H84" s="6"/>
      <c r="I84" s="6"/>
      <c r="J84" s="6"/>
      <c r="K84" s="6"/>
      <c r="L84" s="6"/>
      <c r="M84" s="6"/>
      <c r="N84" s="6"/>
      <c r="O84" s="6"/>
      <c r="P84" s="6"/>
      <c r="Q84" s="6"/>
      <c r="R84" s="6"/>
    </row>
    <row r="85" spans="2:21" ht="15.75" outlineLevel="1" thickBot="1" x14ac:dyDescent="0.3">
      <c r="C85" s="40" t="s">
        <v>1044</v>
      </c>
      <c r="D85" s="848">
        <f>MAX(D82:K82)</f>
        <v>7.7270656905653615E-2</v>
      </c>
      <c r="E85" s="55"/>
      <c r="F85" s="55"/>
      <c r="G85" s="6"/>
      <c r="H85" s="6"/>
      <c r="I85" s="41">
        <f>LEFT(K79,4)+1</f>
        <v>2016</v>
      </c>
      <c r="J85" s="42">
        <f t="shared" ref="J85:R85" si="61">I85+1</f>
        <v>2017</v>
      </c>
      <c r="K85" s="42">
        <f t="shared" si="61"/>
        <v>2018</v>
      </c>
      <c r="L85" s="42">
        <f t="shared" si="61"/>
        <v>2019</v>
      </c>
      <c r="M85" s="42">
        <f t="shared" si="61"/>
        <v>2020</v>
      </c>
      <c r="N85" s="42">
        <f t="shared" si="61"/>
        <v>2021</v>
      </c>
      <c r="O85" s="42">
        <f t="shared" si="61"/>
        <v>2022</v>
      </c>
      <c r="P85" s="42">
        <f t="shared" si="61"/>
        <v>2023</v>
      </c>
      <c r="Q85" s="42">
        <f t="shared" si="61"/>
        <v>2024</v>
      </c>
      <c r="R85" s="42">
        <f t="shared" si="61"/>
        <v>2025</v>
      </c>
      <c r="S85" s="43" t="s">
        <v>267</v>
      </c>
    </row>
    <row r="86" spans="2:21" outlineLevel="1" x14ac:dyDescent="0.25">
      <c r="C86" s="40" t="s">
        <v>1045</v>
      </c>
      <c r="D86" s="848">
        <f>AVERAGE(D82:K82)</f>
        <v>6.9482452414097964E-2</v>
      </c>
      <c r="E86" s="55"/>
      <c r="F86" s="55"/>
      <c r="G86" s="2107" t="s">
        <v>1006</v>
      </c>
      <c r="H86" s="44" t="s">
        <v>1042</v>
      </c>
      <c r="I86" s="45">
        <f>K82</f>
        <v>6.7619034173131642E-2</v>
      </c>
      <c r="J86" s="46">
        <f>I86</f>
        <v>6.7619034173131642E-2</v>
      </c>
      <c r="K86" s="46">
        <f>J86</f>
        <v>6.7619034173131642E-2</v>
      </c>
      <c r="L86" s="46">
        <f>K86</f>
        <v>6.7619034173131642E-2</v>
      </c>
      <c r="M86" s="46">
        <f>L86</f>
        <v>6.7619034173131642E-2</v>
      </c>
      <c r="N86" s="46">
        <f>M86-($M$30-$R$30)/5</f>
        <v>6.7619034173131642E-2</v>
      </c>
      <c r="O86" s="46">
        <f>N86-($M$30-$R$30)/5</f>
        <v>6.7619034173131642E-2</v>
      </c>
      <c r="P86" s="46">
        <f>O86-($M$30-$R$30)/5</f>
        <v>6.7619034173131642E-2</v>
      </c>
      <c r="Q86" s="46">
        <f>P86-($M$30-$R$30)/5</f>
        <v>6.7619034173131642E-2</v>
      </c>
      <c r="R86" s="46">
        <f>Q86-($M$30-$R$30)/5</f>
        <v>6.7619034173131642E-2</v>
      </c>
      <c r="S86" s="47"/>
    </row>
    <row r="87" spans="2:21" ht="15.75" outlineLevel="1" thickBot="1" x14ac:dyDescent="0.3">
      <c r="C87" s="40" t="s">
        <v>1046</v>
      </c>
      <c r="D87" s="848">
        <f>MEDIAN(D82:K82)</f>
        <v>6.7977238700509465E-2</v>
      </c>
      <c r="E87" s="55"/>
      <c r="F87" s="55"/>
      <c r="G87" s="2108"/>
      <c r="H87" s="48" t="s">
        <v>1042</v>
      </c>
      <c r="I87" s="49">
        <f t="shared" ref="I87:R87" si="62">I86*L81</f>
        <v>1074.3269218745684</v>
      </c>
      <c r="J87" s="50">
        <f t="shared" si="62"/>
        <v>1193.9865385151811</v>
      </c>
      <c r="K87" s="50">
        <f t="shared" si="62"/>
        <v>1314.8300547897759</v>
      </c>
      <c r="L87" s="50">
        <f t="shared" si="62"/>
        <v>1448.1858390420966</v>
      </c>
      <c r="M87" s="50">
        <f t="shared" si="62"/>
        <v>1595.3749619454893</v>
      </c>
      <c r="N87" s="50">
        <f t="shared" si="62"/>
        <v>1753.9644522496769</v>
      </c>
      <c r="O87" s="50">
        <f t="shared" si="62"/>
        <v>1898.8215228573724</v>
      </c>
      <c r="P87" s="50">
        <f t="shared" si="62"/>
        <v>2043.0233883139124</v>
      </c>
      <c r="Q87" s="50">
        <f t="shared" si="62"/>
        <v>2184.1364799168964</v>
      </c>
      <c r="R87" s="50">
        <f t="shared" si="62"/>
        <v>2335.1481597606048</v>
      </c>
      <c r="S87" s="51"/>
    </row>
    <row r="88" spans="2:21" outlineLevel="1" x14ac:dyDescent="0.25">
      <c r="C88" s="40" t="s">
        <v>1047</v>
      </c>
      <c r="D88" s="848">
        <f>SUMPRODUCT(D82:K82,D78:K78)/SUM(D78:K78)</f>
        <v>6.8682938805415886E-2</v>
      </c>
      <c r="E88" s="55"/>
      <c r="F88" s="55"/>
      <c r="G88" s="6"/>
      <c r="H88" s="6"/>
      <c r="I88" s="6"/>
      <c r="J88" s="6"/>
      <c r="K88" s="6"/>
      <c r="L88" s="6"/>
      <c r="M88" s="6"/>
      <c r="N88" s="6"/>
      <c r="O88" s="6"/>
      <c r="P88" s="6"/>
      <c r="Q88" s="6"/>
      <c r="R88" s="6"/>
    </row>
    <row r="89" spans="2:21" ht="13.15" customHeight="1" outlineLevel="1" x14ac:dyDescent="0.25">
      <c r="C89" s="4"/>
      <c r="D89" s="847">
        <v>1</v>
      </c>
      <c r="E89" s="847">
        <f t="shared" ref="E89:K89" si="63">D89+1</f>
        <v>2</v>
      </c>
      <c r="F89" s="847">
        <f t="shared" si="63"/>
        <v>3</v>
      </c>
      <c r="G89" s="12">
        <f t="shared" si="63"/>
        <v>4</v>
      </c>
      <c r="H89" s="12">
        <f t="shared" si="63"/>
        <v>5</v>
      </c>
      <c r="I89" s="12">
        <f t="shared" si="63"/>
        <v>6</v>
      </c>
      <c r="J89" s="12">
        <f t="shared" si="63"/>
        <v>7</v>
      </c>
      <c r="K89" s="12">
        <f t="shared" si="63"/>
        <v>8</v>
      </c>
      <c r="L89" s="4"/>
      <c r="M89" s="4"/>
      <c r="N89" s="4"/>
      <c r="O89" s="4"/>
      <c r="P89" s="4"/>
      <c r="Q89" s="4"/>
      <c r="R89" s="4"/>
    </row>
    <row r="90" spans="2:21" ht="15.75" outlineLevel="1" thickBot="1" x14ac:dyDescent="0.3">
      <c r="B90" s="53" t="s">
        <v>825</v>
      </c>
      <c r="C90" s="52" t="s">
        <v>913</v>
      </c>
      <c r="D90" s="1288" t="str">
        <f>+D79</f>
        <v>2008/12</v>
      </c>
      <c r="E90" s="16" t="str">
        <f t="shared" ref="E90:U90" si="64">+E79</f>
        <v>2009/12</v>
      </c>
      <c r="F90" s="16" t="str">
        <f t="shared" si="64"/>
        <v>2010/12</v>
      </c>
      <c r="G90" s="16" t="str">
        <f t="shared" si="64"/>
        <v>2011/12</v>
      </c>
      <c r="H90" s="16" t="str">
        <f t="shared" si="64"/>
        <v>2012/12</v>
      </c>
      <c r="I90" s="16" t="str">
        <f t="shared" si="64"/>
        <v>2013/12</v>
      </c>
      <c r="J90" s="16" t="str">
        <f t="shared" si="64"/>
        <v>2014/12</v>
      </c>
      <c r="K90" s="18" t="str">
        <f t="shared" si="64"/>
        <v>2015/12</v>
      </c>
      <c r="L90" s="19">
        <f t="shared" si="64"/>
        <v>2016</v>
      </c>
      <c r="M90" s="20">
        <f t="shared" si="64"/>
        <v>2017</v>
      </c>
      <c r="N90" s="20">
        <f t="shared" si="64"/>
        <v>2018</v>
      </c>
      <c r="O90" s="20">
        <f t="shared" si="64"/>
        <v>2019</v>
      </c>
      <c r="P90" s="20">
        <f t="shared" si="64"/>
        <v>2020</v>
      </c>
      <c r="Q90" s="20">
        <f t="shared" si="64"/>
        <v>2021</v>
      </c>
      <c r="R90" s="20">
        <f t="shared" si="64"/>
        <v>2022</v>
      </c>
      <c r="S90" s="20">
        <f t="shared" si="64"/>
        <v>2023</v>
      </c>
      <c r="T90" s="20">
        <f t="shared" si="64"/>
        <v>2024</v>
      </c>
      <c r="U90" s="21">
        <f t="shared" si="64"/>
        <v>2025</v>
      </c>
    </row>
    <row r="91" spans="2:21" outlineLevel="1" x14ac:dyDescent="0.25">
      <c r="C91" s="22" t="s">
        <v>913</v>
      </c>
      <c r="D91" s="23">
        <f>IF(Duz!D29&lt;0,-Duz!D29,0)</f>
        <v>25.593000000000004</v>
      </c>
      <c r="E91" s="24">
        <f>IF(Duz!E29&lt;0,-Duz!E29,0)</f>
        <v>53.691999999999993</v>
      </c>
      <c r="F91" s="24">
        <f>IF(Duz!F29&lt;0,-Duz!F29,0)</f>
        <v>89.305000000000007</v>
      </c>
      <c r="G91" s="24">
        <f>IF(Duz!G29&lt;0,-Duz!G29,0)</f>
        <v>162.755</v>
      </c>
      <c r="H91" s="24">
        <f>IF(Duz!H29&lt;0,-Duz!H29,0)</f>
        <v>150.43799999999999</v>
      </c>
      <c r="I91" s="24">
        <f>IF(Duz!I29&lt;0,-Duz!I29,0)</f>
        <v>154.85599999999999</v>
      </c>
      <c r="J91" s="24">
        <f>IF(Duz!J29&lt;0,-Duz!J29,0)</f>
        <v>168.06900000000002</v>
      </c>
      <c r="K91" s="538">
        <f>IF(Duz!K29&lt;0,-Duz!K29,0)</f>
        <v>0</v>
      </c>
      <c r="L91" s="26">
        <f>Sales!E244</f>
        <v>0</v>
      </c>
      <c r="M91" s="27">
        <f>Sales!F244</f>
        <v>0</v>
      </c>
      <c r="N91" s="28">
        <f>Sales!G244</f>
        <v>0</v>
      </c>
      <c r="O91" s="28">
        <f>Sales!H244</f>
        <v>0</v>
      </c>
      <c r="P91" s="28">
        <f>Sales!I244</f>
        <v>0</v>
      </c>
      <c r="Q91" s="28">
        <f>Sales!J244</f>
        <v>0</v>
      </c>
      <c r="R91" s="28">
        <f>Sales!K244</f>
        <v>0</v>
      </c>
      <c r="S91" s="28">
        <f>Sales!L244</f>
        <v>0</v>
      </c>
      <c r="T91" s="28">
        <f>Sales!M244</f>
        <v>0</v>
      </c>
      <c r="U91" s="28">
        <f>Sales!N244</f>
        <v>0</v>
      </c>
    </row>
    <row r="92" spans="2:21" outlineLevel="1" x14ac:dyDescent="0.25">
      <c r="C92" s="29" t="s">
        <v>238</v>
      </c>
      <c r="D92" s="30">
        <f>+D81</f>
        <v>6775.5379999999996</v>
      </c>
      <c r="E92" s="31">
        <f t="shared" ref="E92:U92" si="65">+E81</f>
        <v>6591.8950000000004</v>
      </c>
      <c r="F92" s="31">
        <f t="shared" si="65"/>
        <v>6936.42</v>
      </c>
      <c r="G92" s="31">
        <f t="shared" si="65"/>
        <v>8437.2389999999996</v>
      </c>
      <c r="H92" s="31">
        <f t="shared" si="65"/>
        <v>10556.861000000001</v>
      </c>
      <c r="I92" s="31">
        <f t="shared" si="65"/>
        <v>11097.710999999999</v>
      </c>
      <c r="J92" s="31">
        <f t="shared" si="65"/>
        <v>12514.032999999999</v>
      </c>
      <c r="K92" s="32">
        <f t="shared" si="65"/>
        <v>14166.1</v>
      </c>
      <c r="L92" s="33">
        <f t="shared" si="65"/>
        <v>15887.936510951396</v>
      </c>
      <c r="M92" s="33">
        <f t="shared" si="65"/>
        <v>17657.550911746246</v>
      </c>
      <c r="N92" s="33">
        <f t="shared" si="65"/>
        <v>19444.673690891348</v>
      </c>
      <c r="O92" s="33">
        <f t="shared" si="65"/>
        <v>21416.837089600605</v>
      </c>
      <c r="P92" s="33">
        <f t="shared" si="65"/>
        <v>23593.578072421064</v>
      </c>
      <c r="Q92" s="33">
        <f t="shared" si="65"/>
        <v>25938.916071454521</v>
      </c>
      <c r="R92" s="33">
        <f t="shared" si="65"/>
        <v>28081.168950086354</v>
      </c>
      <c r="S92" s="33">
        <f t="shared" si="65"/>
        <v>30213.732173147568</v>
      </c>
      <c r="T92" s="33">
        <f t="shared" si="65"/>
        <v>32300.616337178635</v>
      </c>
      <c r="U92" s="33">
        <f t="shared" si="65"/>
        <v>34533.888102892684</v>
      </c>
    </row>
    <row r="93" spans="2:21" outlineLevel="1" x14ac:dyDescent="0.25">
      <c r="C93" s="35" t="s">
        <v>1048</v>
      </c>
      <c r="D93" s="36">
        <f>D91/D92</f>
        <v>3.777264624595125E-3</v>
      </c>
      <c r="E93" s="37">
        <f t="shared" ref="E93:K93" si="66">E91/E92</f>
        <v>8.1451540110999924E-3</v>
      </c>
      <c r="F93" s="37">
        <f t="shared" si="66"/>
        <v>1.2874797085528271E-2</v>
      </c>
      <c r="G93" s="37">
        <f t="shared" si="66"/>
        <v>1.9290078187900093E-2</v>
      </c>
      <c r="H93" s="37">
        <f t="shared" si="66"/>
        <v>1.4250258670640826E-2</v>
      </c>
      <c r="I93" s="37">
        <f t="shared" si="66"/>
        <v>1.3953868504955662E-2</v>
      </c>
      <c r="J93" s="37">
        <f t="shared" si="66"/>
        <v>1.3430442448090078E-2</v>
      </c>
      <c r="K93" s="38">
        <f t="shared" si="66"/>
        <v>0</v>
      </c>
      <c r="L93" s="39"/>
      <c r="M93" s="39"/>
      <c r="N93" s="39"/>
      <c r="O93" s="39"/>
      <c r="P93" s="39"/>
      <c r="Q93" s="39"/>
      <c r="R93" s="39"/>
      <c r="S93" s="39"/>
      <c r="T93" s="39"/>
      <c r="U93" s="39"/>
    </row>
    <row r="94" spans="2:21" outlineLevel="1" x14ac:dyDescent="0.25">
      <c r="C94" s="4"/>
      <c r="D94" s="55"/>
      <c r="E94" s="55"/>
      <c r="F94" s="55"/>
      <c r="G94" s="4"/>
      <c r="H94" s="4"/>
      <c r="I94" s="4"/>
      <c r="J94" s="4"/>
      <c r="K94" s="4"/>
      <c r="L94" s="4"/>
      <c r="M94" s="4"/>
      <c r="N94" s="4"/>
      <c r="O94" s="4"/>
      <c r="P94" s="4"/>
      <c r="Q94" s="4"/>
      <c r="R94" s="4"/>
    </row>
    <row r="95" spans="2:21" outlineLevel="1" x14ac:dyDescent="0.25">
      <c r="C95" s="40" t="s">
        <v>1049</v>
      </c>
      <c r="D95" s="848">
        <f>MIN(D93:K93)</f>
        <v>0</v>
      </c>
      <c r="E95" s="55"/>
      <c r="F95" s="55"/>
      <c r="G95" s="6"/>
      <c r="H95" s="6"/>
      <c r="I95" s="6"/>
      <c r="J95" s="6"/>
      <c r="K95" s="6"/>
      <c r="L95" s="6"/>
      <c r="M95" s="6"/>
      <c r="N95" s="6"/>
      <c r="O95" s="6"/>
      <c r="P95" s="6"/>
      <c r="Q95" s="6"/>
      <c r="R95" s="6"/>
    </row>
    <row r="96" spans="2:21" ht="15.75" outlineLevel="1" thickBot="1" x14ac:dyDescent="0.3">
      <c r="C96" s="40" t="s">
        <v>1050</v>
      </c>
      <c r="D96" s="848">
        <f>MAX(D93:K93)</f>
        <v>1.9290078187900093E-2</v>
      </c>
      <c r="E96" s="55"/>
      <c r="F96" s="55"/>
      <c r="G96" s="6"/>
      <c r="H96" s="6"/>
      <c r="I96" s="41">
        <f>LEFT(K90,4)+1</f>
        <v>2016</v>
      </c>
      <c r="J96" s="42">
        <f t="shared" ref="J96:R96" si="67">I96+1</f>
        <v>2017</v>
      </c>
      <c r="K96" s="42">
        <f t="shared" si="67"/>
        <v>2018</v>
      </c>
      <c r="L96" s="42">
        <f t="shared" si="67"/>
        <v>2019</v>
      </c>
      <c r="M96" s="42">
        <f t="shared" si="67"/>
        <v>2020</v>
      </c>
      <c r="N96" s="42">
        <f t="shared" si="67"/>
        <v>2021</v>
      </c>
      <c r="O96" s="42">
        <f t="shared" si="67"/>
        <v>2022</v>
      </c>
      <c r="P96" s="42">
        <f t="shared" si="67"/>
        <v>2023</v>
      </c>
      <c r="Q96" s="42">
        <f t="shared" si="67"/>
        <v>2024</v>
      </c>
      <c r="R96" s="42">
        <f t="shared" si="67"/>
        <v>2025</v>
      </c>
      <c r="S96" s="43" t="s">
        <v>267</v>
      </c>
    </row>
    <row r="97" spans="3:19" outlineLevel="1" x14ac:dyDescent="0.25">
      <c r="C97" s="40" t="s">
        <v>1051</v>
      </c>
      <c r="D97" s="848">
        <f>AVERAGE(D93:K93)</f>
        <v>1.0715232941601257E-2</v>
      </c>
      <c r="E97" s="55"/>
      <c r="F97" s="55"/>
      <c r="G97" s="2107" t="s">
        <v>1006</v>
      </c>
      <c r="H97" s="44" t="s">
        <v>1048</v>
      </c>
      <c r="I97" s="45">
        <f>K93</f>
        <v>0</v>
      </c>
      <c r="J97" s="46">
        <f>I97</f>
        <v>0</v>
      </c>
      <c r="K97" s="46">
        <f>J97</f>
        <v>0</v>
      </c>
      <c r="L97" s="46">
        <f>K97</f>
        <v>0</v>
      </c>
      <c r="M97" s="46">
        <f>L97</f>
        <v>0</v>
      </c>
      <c r="N97" s="46">
        <f>M97-($M$30-$R$30)/5</f>
        <v>0</v>
      </c>
      <c r="O97" s="46">
        <f>N97-($M$30-$R$30)/5</f>
        <v>0</v>
      </c>
      <c r="P97" s="46">
        <f>O97-($M$30-$R$30)/5</f>
        <v>0</v>
      </c>
      <c r="Q97" s="46">
        <f>P97-($M$30-$R$30)/5</f>
        <v>0</v>
      </c>
      <c r="R97" s="46">
        <f>Q97-($M$30-$R$30)/5</f>
        <v>0</v>
      </c>
      <c r="S97" s="47"/>
    </row>
    <row r="98" spans="3:19" ht="15.75" outlineLevel="1" thickBot="1" x14ac:dyDescent="0.3">
      <c r="C98" s="40" t="s">
        <v>1052</v>
      </c>
      <c r="D98" s="848">
        <f>MEDIAN(D93:K93)</f>
        <v>1.3152619766809174E-2</v>
      </c>
      <c r="E98" s="55"/>
      <c r="F98" s="55"/>
      <c r="G98" s="2108"/>
      <c r="H98" s="48" t="s">
        <v>1048</v>
      </c>
      <c r="I98" s="49">
        <f t="shared" ref="I98:R98" si="68">I97*L92</f>
        <v>0</v>
      </c>
      <c r="J98" s="50">
        <f t="shared" si="68"/>
        <v>0</v>
      </c>
      <c r="K98" s="50">
        <f t="shared" si="68"/>
        <v>0</v>
      </c>
      <c r="L98" s="50">
        <f t="shared" si="68"/>
        <v>0</v>
      </c>
      <c r="M98" s="50">
        <f t="shared" si="68"/>
        <v>0</v>
      </c>
      <c r="N98" s="50">
        <f t="shared" si="68"/>
        <v>0</v>
      </c>
      <c r="O98" s="50">
        <f t="shared" si="68"/>
        <v>0</v>
      </c>
      <c r="P98" s="50">
        <f t="shared" si="68"/>
        <v>0</v>
      </c>
      <c r="Q98" s="50">
        <f t="shared" si="68"/>
        <v>0</v>
      </c>
      <c r="R98" s="50">
        <f t="shared" si="68"/>
        <v>0</v>
      </c>
      <c r="S98" s="51"/>
    </row>
    <row r="99" spans="3:19" ht="15.75" outlineLevel="1" thickBot="1" x14ac:dyDescent="0.3">
      <c r="C99" s="40" t="s">
        <v>1053</v>
      </c>
      <c r="D99" s="848">
        <f>SUMPRODUCT(D93:K93,D89:K89)/SUM(D89:K89)</f>
        <v>1.0689996615959691E-2</v>
      </c>
      <c r="E99" s="55"/>
      <c r="F99" s="55"/>
      <c r="G99" s="6"/>
      <c r="H99" s="6"/>
      <c r="I99" s="6"/>
      <c r="J99" s="6"/>
      <c r="K99" s="6"/>
      <c r="L99" s="6"/>
      <c r="M99" s="6"/>
      <c r="N99" s="6"/>
      <c r="O99" s="6"/>
      <c r="P99" s="6"/>
      <c r="Q99" s="6"/>
      <c r="R99" s="6"/>
    </row>
    <row r="100" spans="3:19" ht="20.25" thickTop="1" thickBot="1" x14ac:dyDescent="0.35">
      <c r="C100" s="1345" t="s">
        <v>1079</v>
      </c>
      <c r="D100" s="1328"/>
      <c r="E100" s="1328"/>
      <c r="F100" s="1328"/>
      <c r="G100" s="1329"/>
      <c r="H100" s="1328"/>
      <c r="I100" s="1328"/>
      <c r="J100" s="1328"/>
      <c r="K100" s="1328"/>
      <c r="L100" s="1328"/>
      <c r="M100" s="1330"/>
    </row>
    <row r="101" spans="3:19" ht="17.25" thickTop="1" thickBot="1" x14ac:dyDescent="0.3">
      <c r="C101" s="1293" t="s">
        <v>980</v>
      </c>
      <c r="D101" s="1294">
        <f t="shared" ref="D101:M101" si="69">+I62</f>
        <v>2016</v>
      </c>
      <c r="E101" s="1295">
        <f t="shared" si="69"/>
        <v>2017</v>
      </c>
      <c r="F101" s="1296">
        <f t="shared" si="69"/>
        <v>2018</v>
      </c>
      <c r="G101" s="1296">
        <f t="shared" si="69"/>
        <v>2019</v>
      </c>
      <c r="H101" s="1296">
        <f t="shared" si="69"/>
        <v>2020</v>
      </c>
      <c r="I101" s="1296">
        <f t="shared" si="69"/>
        <v>2021</v>
      </c>
      <c r="J101" s="1296">
        <f t="shared" si="69"/>
        <v>2022</v>
      </c>
      <c r="K101" s="1296">
        <f t="shared" si="69"/>
        <v>2023</v>
      </c>
      <c r="L101" s="1297">
        <f t="shared" si="69"/>
        <v>2024</v>
      </c>
      <c r="M101" s="1298">
        <f t="shared" si="69"/>
        <v>2025</v>
      </c>
    </row>
    <row r="102" spans="3:19" x14ac:dyDescent="0.25">
      <c r="C102" s="1299" t="s">
        <v>980</v>
      </c>
      <c r="D102" s="1292"/>
      <c r="E102" s="1292"/>
      <c r="F102" s="1292"/>
      <c r="G102" s="1292"/>
      <c r="H102" s="1292"/>
      <c r="I102" s="1292"/>
      <c r="J102" s="1292"/>
      <c r="K102" s="1292"/>
      <c r="L102" s="1292"/>
      <c r="M102" s="1300"/>
    </row>
    <row r="103" spans="3:19" x14ac:dyDescent="0.25">
      <c r="C103" s="1301" t="s">
        <v>44</v>
      </c>
      <c r="D103" s="1290">
        <f t="shared" ref="D103:M103" si="70">+I31</f>
        <v>5372.7954097546553</v>
      </c>
      <c r="E103" s="1290">
        <f t="shared" si="70"/>
        <v>5971.2227840755868</v>
      </c>
      <c r="F103" s="1290">
        <f t="shared" si="70"/>
        <v>6575.5709357591195</v>
      </c>
      <c r="G103" s="1290">
        <f t="shared" si="70"/>
        <v>7242.4939467220283</v>
      </c>
      <c r="H103" s="1290">
        <f t="shared" si="70"/>
        <v>7978.5985977357841</v>
      </c>
      <c r="I103" s="1290">
        <f t="shared" si="70"/>
        <v>8771.7174037458899</v>
      </c>
      <c r="J103" s="1290">
        <f t="shared" si="70"/>
        <v>9496.159273520052</v>
      </c>
      <c r="K103" s="1290">
        <f t="shared" si="70"/>
        <v>10217.324409595281</v>
      </c>
      <c r="L103" s="1290">
        <f t="shared" si="70"/>
        <v>10923.042339010924</v>
      </c>
      <c r="M103" s="1305">
        <f t="shared" si="70"/>
        <v>11678.26390496396</v>
      </c>
    </row>
    <row r="104" spans="3:19" x14ac:dyDescent="0.25">
      <c r="C104" s="1302" t="s">
        <v>4</v>
      </c>
      <c r="D104" s="1290">
        <f t="shared" ref="D104:M104" si="71">+I42</f>
        <v>2400.1729301513546</v>
      </c>
      <c r="E104" s="1290">
        <f t="shared" si="71"/>
        <v>2667.5066130790356</v>
      </c>
      <c r="F104" s="1290">
        <f t="shared" si="71"/>
        <v>2937.48526728654</v>
      </c>
      <c r="G104" s="1290">
        <f t="shared" si="71"/>
        <v>3235.4178024621733</v>
      </c>
      <c r="H104" s="1290">
        <f t="shared" si="71"/>
        <v>3564.2556461504009</v>
      </c>
      <c r="I104" s="1290">
        <f t="shared" si="71"/>
        <v>3918.5632539039493</v>
      </c>
      <c r="J104" s="1290">
        <f t="shared" si="71"/>
        <v>4242.1910179805973</v>
      </c>
      <c r="K104" s="1290">
        <f t="shared" si="71"/>
        <v>4564.3549765475082</v>
      </c>
      <c r="L104" s="1290">
        <f t="shared" si="71"/>
        <v>4879.6182503789669</v>
      </c>
      <c r="M104" s="1305">
        <f t="shared" si="71"/>
        <v>5216.9961366792695</v>
      </c>
    </row>
    <row r="105" spans="3:19" x14ac:dyDescent="0.25">
      <c r="C105" s="1302" t="s">
        <v>94</v>
      </c>
      <c r="D105" s="1290">
        <f t="shared" ref="D105:M105" si="72">+I53</f>
        <v>345.48447537734626</v>
      </c>
      <c r="E105" s="1290">
        <f t="shared" si="72"/>
        <v>383.96488486648229</v>
      </c>
      <c r="F105" s="1290">
        <f t="shared" si="72"/>
        <v>422.82601547096749</v>
      </c>
      <c r="G105" s="1290">
        <f t="shared" si="72"/>
        <v>465.71086944126267</v>
      </c>
      <c r="H105" s="1290">
        <f t="shared" si="72"/>
        <v>513.04427966503386</v>
      </c>
      <c r="I105" s="1290">
        <f t="shared" si="72"/>
        <v>564.04384575847291</v>
      </c>
      <c r="J105" s="1290">
        <f t="shared" si="72"/>
        <v>610.62730934353795</v>
      </c>
      <c r="K105" s="1290">
        <f t="shared" si="72"/>
        <v>657.00007057785422</v>
      </c>
      <c r="L105" s="1290">
        <f t="shared" si="72"/>
        <v>702.379536947612</v>
      </c>
      <c r="M105" s="1305">
        <f t="shared" si="72"/>
        <v>750.94221365650549</v>
      </c>
    </row>
    <row r="106" spans="3:19" x14ac:dyDescent="0.25">
      <c r="C106" s="1302" t="s">
        <v>1004</v>
      </c>
      <c r="D106" s="1290">
        <f t="shared" ref="D106:M106" si="73">+I64</f>
        <v>54.969225423705176</v>
      </c>
      <c r="E106" s="1290">
        <f t="shared" si="73"/>
        <v>61.091753219764577</v>
      </c>
      <c r="F106" s="1290">
        <f t="shared" si="73"/>
        <v>67.274856660475834</v>
      </c>
      <c r="G106" s="1290">
        <f t="shared" si="73"/>
        <v>74.098165298529935</v>
      </c>
      <c r="H106" s="1290">
        <f t="shared" si="73"/>
        <v>81.629273299320289</v>
      </c>
      <c r="I106" s="1290">
        <f t="shared" si="73"/>
        <v>89.743694770905819</v>
      </c>
      <c r="J106" s="1290">
        <f t="shared" si="73"/>
        <v>97.155480519100692</v>
      </c>
      <c r="K106" s="1290">
        <f t="shared" si="73"/>
        <v>104.53374190993347</v>
      </c>
      <c r="L106" s="1290">
        <f t="shared" si="73"/>
        <v>111.75396248210865</v>
      </c>
      <c r="M106" s="1305">
        <f t="shared" si="73"/>
        <v>119.48065619323428</v>
      </c>
    </row>
    <row r="107" spans="3:19" s="7" customFormat="1" x14ac:dyDescent="0.25">
      <c r="C107" s="1303" t="s">
        <v>1002</v>
      </c>
      <c r="D107" s="1289">
        <f>+SUM(D103:D106)</f>
        <v>8173.4220407070616</v>
      </c>
      <c r="E107" s="1289">
        <f t="shared" ref="E107:M107" si="74">+SUM(E103:E106)</f>
        <v>9083.7860352408698</v>
      </c>
      <c r="F107" s="1289">
        <f t="shared" si="74"/>
        <v>10003.157075177103</v>
      </c>
      <c r="G107" s="1289">
        <f t="shared" si="74"/>
        <v>11017.720783923993</v>
      </c>
      <c r="H107" s="1289">
        <f t="shared" si="74"/>
        <v>12137.527796850538</v>
      </c>
      <c r="I107" s="1289">
        <f t="shared" si="74"/>
        <v>13344.068198179219</v>
      </c>
      <c r="J107" s="1289">
        <f t="shared" si="74"/>
        <v>14446.133081363289</v>
      </c>
      <c r="K107" s="1289">
        <f t="shared" si="74"/>
        <v>15543.213198630579</v>
      </c>
      <c r="L107" s="1289">
        <f t="shared" si="74"/>
        <v>16616.79408881961</v>
      </c>
      <c r="M107" s="1304">
        <f t="shared" si="74"/>
        <v>17765.682911492968</v>
      </c>
      <c r="N107" s="48"/>
      <c r="O107" s="48"/>
      <c r="P107" s="48"/>
      <c r="Q107" s="48"/>
      <c r="R107" s="48"/>
    </row>
    <row r="108" spans="3:19" x14ac:dyDescent="0.25">
      <c r="C108" s="1302" t="s">
        <v>11</v>
      </c>
      <c r="D108" s="1290">
        <f t="shared" ref="D108:M108" si="75">+I76</f>
        <v>2344.473578110682</v>
      </c>
      <c r="E108" s="1290">
        <f t="shared" si="75"/>
        <v>2605.6034110029491</v>
      </c>
      <c r="F108" s="1290">
        <f t="shared" si="75"/>
        <v>2869.3168349367238</v>
      </c>
      <c r="G108" s="1290">
        <f t="shared" si="75"/>
        <v>3160.3354311404382</v>
      </c>
      <c r="H108" s="1290">
        <f t="shared" si="75"/>
        <v>3481.5421351762698</v>
      </c>
      <c r="I108" s="1290">
        <f t="shared" si="75"/>
        <v>3827.6275419679446</v>
      </c>
      <c r="J108" s="1290">
        <f t="shared" si="75"/>
        <v>4143.7450735380107</v>
      </c>
      <c r="K108" s="1290">
        <f t="shared" si="75"/>
        <v>4458.4327692416846</v>
      </c>
      <c r="L108" s="1290">
        <f t="shared" si="75"/>
        <v>4766.3799201996453</v>
      </c>
      <c r="M108" s="1305">
        <f t="shared" si="75"/>
        <v>5095.9284832775602</v>
      </c>
    </row>
    <row r="109" spans="3:19" x14ac:dyDescent="0.25">
      <c r="C109" s="1302" t="s">
        <v>102</v>
      </c>
      <c r="D109" s="1290">
        <f t="shared" ref="D109:M109" si="76">+I87</f>
        <v>1074.3269218745684</v>
      </c>
      <c r="E109" s="1290">
        <f t="shared" si="76"/>
        <v>1193.9865385151811</v>
      </c>
      <c r="F109" s="1290">
        <f t="shared" si="76"/>
        <v>1314.8300547897759</v>
      </c>
      <c r="G109" s="1290">
        <f t="shared" si="76"/>
        <v>1448.1858390420966</v>
      </c>
      <c r="H109" s="1290">
        <f t="shared" si="76"/>
        <v>1595.3749619454893</v>
      </c>
      <c r="I109" s="1290">
        <f t="shared" si="76"/>
        <v>1753.9644522496769</v>
      </c>
      <c r="J109" s="1290">
        <f t="shared" si="76"/>
        <v>1898.8215228573724</v>
      </c>
      <c r="K109" s="1290">
        <f t="shared" si="76"/>
        <v>2043.0233883139124</v>
      </c>
      <c r="L109" s="1290">
        <f t="shared" si="76"/>
        <v>2184.1364799168964</v>
      </c>
      <c r="M109" s="1305">
        <f t="shared" si="76"/>
        <v>2335.1481597606048</v>
      </c>
    </row>
    <row r="110" spans="3:19" ht="13.15" customHeight="1" x14ac:dyDescent="0.25">
      <c r="C110" s="1302" t="s">
        <v>1005</v>
      </c>
      <c r="D110" s="1290">
        <f t="shared" ref="D110:M110" si="77">+I98</f>
        <v>0</v>
      </c>
      <c r="E110" s="1290">
        <f t="shared" si="77"/>
        <v>0</v>
      </c>
      <c r="F110" s="1290">
        <f t="shared" si="77"/>
        <v>0</v>
      </c>
      <c r="G110" s="1290">
        <f t="shared" si="77"/>
        <v>0</v>
      </c>
      <c r="H110" s="1290">
        <f t="shared" si="77"/>
        <v>0</v>
      </c>
      <c r="I110" s="1290">
        <f t="shared" si="77"/>
        <v>0</v>
      </c>
      <c r="J110" s="1290">
        <f t="shared" si="77"/>
        <v>0</v>
      </c>
      <c r="K110" s="1290">
        <f t="shared" si="77"/>
        <v>0</v>
      </c>
      <c r="L110" s="1290">
        <f t="shared" si="77"/>
        <v>0</v>
      </c>
      <c r="M110" s="1305">
        <f t="shared" si="77"/>
        <v>0</v>
      </c>
      <c r="N110" s="4"/>
      <c r="O110" s="4"/>
      <c r="P110" s="4"/>
      <c r="Q110" s="4"/>
      <c r="R110" s="4"/>
    </row>
    <row r="111" spans="3:19" s="7" customFormat="1" ht="16.149999999999999" customHeight="1" x14ac:dyDescent="0.25">
      <c r="C111" s="1306" t="s">
        <v>1003</v>
      </c>
      <c r="D111" s="1291">
        <f>+SUM(D108:D110)</f>
        <v>3418.8004999852501</v>
      </c>
      <c r="E111" s="1291">
        <f t="shared" ref="E111:M111" si="78">+SUM(E108:E110)</f>
        <v>3799.5899495181302</v>
      </c>
      <c r="F111" s="1291">
        <f t="shared" si="78"/>
        <v>4184.1468897264995</v>
      </c>
      <c r="G111" s="1291">
        <f t="shared" si="78"/>
        <v>4608.5212701825349</v>
      </c>
      <c r="H111" s="1291">
        <f t="shared" si="78"/>
        <v>5076.9170971217591</v>
      </c>
      <c r="I111" s="1291">
        <f t="shared" si="78"/>
        <v>5581.5919942176215</v>
      </c>
      <c r="J111" s="1291">
        <f t="shared" si="78"/>
        <v>6042.5665963953834</v>
      </c>
      <c r="K111" s="1291">
        <f t="shared" si="78"/>
        <v>6501.4561575555972</v>
      </c>
      <c r="L111" s="1291">
        <f t="shared" si="78"/>
        <v>6950.5164001165413</v>
      </c>
      <c r="M111" s="1307">
        <f t="shared" si="78"/>
        <v>7431.0766430381645</v>
      </c>
    </row>
    <row r="112" spans="3:19" ht="13.15" customHeight="1" thickBot="1" x14ac:dyDescent="0.3">
      <c r="C112" s="1308" t="s">
        <v>980</v>
      </c>
      <c r="D112" s="1309">
        <f>+D107-D111</f>
        <v>4754.6215407218115</v>
      </c>
      <c r="E112" s="1309">
        <f t="shared" ref="E112:M112" si="79">+E107-E111</f>
        <v>5284.1960857227396</v>
      </c>
      <c r="F112" s="1309">
        <f t="shared" si="79"/>
        <v>5819.0101854506038</v>
      </c>
      <c r="G112" s="1309">
        <f t="shared" si="79"/>
        <v>6409.1995137414578</v>
      </c>
      <c r="H112" s="1309">
        <f t="shared" si="79"/>
        <v>7060.6106997287789</v>
      </c>
      <c r="I112" s="1309">
        <f t="shared" si="79"/>
        <v>7762.4762039615971</v>
      </c>
      <c r="J112" s="1309">
        <f t="shared" si="79"/>
        <v>8403.5664849679051</v>
      </c>
      <c r="K112" s="1309">
        <f t="shared" si="79"/>
        <v>9041.7570410749831</v>
      </c>
      <c r="L112" s="1309">
        <f t="shared" si="79"/>
        <v>9666.2776887030686</v>
      </c>
      <c r="M112" s="1310">
        <f t="shared" si="79"/>
        <v>10334.606268454803</v>
      </c>
      <c r="N112" s="4"/>
      <c r="O112" s="4"/>
      <c r="P112" s="4"/>
      <c r="Q112" s="4"/>
      <c r="R112" s="4"/>
    </row>
    <row r="113" spans="2:21" ht="13.15" customHeight="1" thickTop="1" thickBot="1" x14ac:dyDescent="0.3">
      <c r="C113" s="4"/>
      <c r="D113" s="55"/>
      <c r="E113" s="55"/>
      <c r="F113" s="55"/>
      <c r="G113" s="4"/>
      <c r="H113" s="4"/>
      <c r="I113" s="4"/>
      <c r="J113" s="4"/>
      <c r="K113" s="4"/>
      <c r="L113" s="4"/>
      <c r="M113" s="4"/>
      <c r="N113" s="4"/>
      <c r="O113" s="4"/>
      <c r="P113" s="4"/>
      <c r="Q113" s="4"/>
      <c r="R113" s="4"/>
    </row>
    <row r="114" spans="2:21" s="319" customFormat="1" ht="19.5" thickBot="1" x14ac:dyDescent="0.35">
      <c r="B114" s="1280" t="s">
        <v>265</v>
      </c>
      <c r="C114" s="1281" t="s">
        <v>1350</v>
      </c>
      <c r="D114" s="1282"/>
      <c r="E114" s="1282"/>
      <c r="F114" s="1282"/>
      <c r="G114" s="1283"/>
      <c r="H114" s="1284"/>
      <c r="I114" s="1285"/>
      <c r="J114" s="1285"/>
      <c r="K114" s="1285"/>
      <c r="L114" s="1286"/>
      <c r="M114" s="1286"/>
      <c r="N114" s="1286"/>
      <c r="O114" s="1286"/>
      <c r="P114" s="1286"/>
      <c r="Q114" s="1286"/>
      <c r="R114" s="1286"/>
      <c r="S114" s="1286"/>
      <c r="T114" s="1286"/>
      <c r="U114" s="1287"/>
    </row>
    <row r="115" spans="2:21" ht="7.5" customHeight="1" x14ac:dyDescent="0.25">
      <c r="C115" s="11"/>
      <c r="D115" s="1278">
        <v>1</v>
      </c>
      <c r="E115" s="1278">
        <f>D115+1</f>
        <v>2</v>
      </c>
      <c r="F115" s="1278">
        <f t="shared" ref="F115" si="80">E115+1</f>
        <v>3</v>
      </c>
      <c r="G115" s="1278">
        <f t="shared" ref="G115" si="81">F115+1</f>
        <v>4</v>
      </c>
      <c r="H115" s="1278">
        <f t="shared" ref="H115" si="82">G115+1</f>
        <v>5</v>
      </c>
      <c r="I115" s="1278">
        <f t="shared" ref="I115" si="83">H115+1</f>
        <v>6</v>
      </c>
      <c r="J115" s="1278">
        <f t="shared" ref="J115" si="84">I115+1</f>
        <v>7</v>
      </c>
      <c r="K115" s="1278">
        <f t="shared" ref="K115" si="85">J115+1</f>
        <v>8</v>
      </c>
      <c r="L115" s="13"/>
      <c r="M115" s="13"/>
      <c r="N115" s="13"/>
      <c r="O115" s="13"/>
      <c r="P115" s="13"/>
      <c r="Q115" s="13"/>
      <c r="R115" s="13"/>
      <c r="S115" s="13"/>
      <c r="T115" s="13"/>
      <c r="U115" s="13"/>
    </row>
    <row r="116" spans="2:21" ht="15.75" outlineLevel="1" thickBot="1" x14ac:dyDescent="0.3">
      <c r="B116" s="10" t="s">
        <v>824</v>
      </c>
      <c r="C116" s="14" t="s">
        <v>44</v>
      </c>
      <c r="D116" s="1167" t="str">
        <f>+OMali!C3</f>
        <v>2008/12</v>
      </c>
      <c r="E116" s="16" t="str">
        <f>+OMali!D3</f>
        <v>2009/12</v>
      </c>
      <c r="F116" s="16" t="str">
        <f>+OMali!E3</f>
        <v>2010/12</v>
      </c>
      <c r="G116" s="16" t="str">
        <f>+OMali!F3</f>
        <v>2011/12</v>
      </c>
      <c r="H116" s="16" t="str">
        <f>+OMali!G3</f>
        <v>2012/12</v>
      </c>
      <c r="I116" s="16" t="str">
        <f>+OMali!H3</f>
        <v>2013/12</v>
      </c>
      <c r="J116" s="17" t="str">
        <f>+OMali!I3</f>
        <v>2014/12</v>
      </c>
      <c r="K116" s="18" t="str">
        <f>+OMali!J3</f>
        <v>2015/12</v>
      </c>
      <c r="L116" s="19">
        <f>+OMali!K3</f>
        <v>0</v>
      </c>
      <c r="M116" s="20">
        <f>+OMali!L3</f>
        <v>0</v>
      </c>
      <c r="N116" s="20">
        <f>+OMali!M3</f>
        <v>0</v>
      </c>
      <c r="O116" s="20">
        <f>+OMali!N3</f>
        <v>0</v>
      </c>
      <c r="P116" s="20">
        <f>+OMali!O3</f>
        <v>0</v>
      </c>
      <c r="Q116" s="20">
        <f>+OMali!P3</f>
        <v>0</v>
      </c>
      <c r="R116" s="20">
        <f>+OMali!Q3</f>
        <v>0</v>
      </c>
      <c r="S116" s="20">
        <f>+OMali!R3</f>
        <v>0</v>
      </c>
      <c r="T116" s="20">
        <f>+OMali!S3</f>
        <v>0</v>
      </c>
      <c r="U116" s="21">
        <f>+OMali!T3</f>
        <v>0</v>
      </c>
    </row>
    <row r="117" spans="2:21" outlineLevel="1" x14ac:dyDescent="0.25">
      <c r="C117" s="22" t="s">
        <v>44</v>
      </c>
      <c r="D117" s="23">
        <f>+OMali!C7</f>
        <v>2644.9270000000001</v>
      </c>
      <c r="E117" s="24">
        <f>+OMali!D7</f>
        <v>2233.011</v>
      </c>
      <c r="F117" s="24">
        <f>+OMali!E7</f>
        <v>2324.578</v>
      </c>
      <c r="G117" s="24">
        <f>+OMali!F7</f>
        <v>3180.87</v>
      </c>
      <c r="H117" s="24">
        <f>+OMali!G7</f>
        <v>3261.4769999999999</v>
      </c>
      <c r="I117" s="24">
        <f>+OMali!H7</f>
        <v>4182.1400000000003</v>
      </c>
      <c r="J117" s="24">
        <f>+OMali!I7</f>
        <v>4433.8980000000001</v>
      </c>
      <c r="K117" s="25">
        <f>+OMali!J7</f>
        <v>4790.5249999999996</v>
      </c>
      <c r="L117" s="26"/>
      <c r="M117" s="27"/>
      <c r="N117" s="28"/>
      <c r="O117" s="28"/>
      <c r="P117" s="28"/>
      <c r="Q117" s="28"/>
      <c r="R117" s="28"/>
      <c r="S117" s="28"/>
      <c r="T117" s="28"/>
      <c r="U117" s="28"/>
    </row>
    <row r="118" spans="2:21" outlineLevel="1" x14ac:dyDescent="0.25">
      <c r="C118" s="29" t="s">
        <v>296</v>
      </c>
      <c r="D118" s="30">
        <f>+OMali!C39</f>
        <v>4905.2920000000004</v>
      </c>
      <c r="E118" s="31">
        <f>+OMali!D39</f>
        <v>4417.8919999999998</v>
      </c>
      <c r="F118" s="31">
        <f>+OMali!E39</f>
        <v>4868.473</v>
      </c>
      <c r="G118" s="31">
        <f>+OMali!F39</f>
        <v>5897.009</v>
      </c>
      <c r="H118" s="31">
        <f>+OMali!G39</f>
        <v>7503.0240000000003</v>
      </c>
      <c r="I118" s="31">
        <f>+OMali!H39</f>
        <v>7709.326</v>
      </c>
      <c r="J118" s="31">
        <f>+OMali!I39</f>
        <v>8535.2009999999991</v>
      </c>
      <c r="K118" s="32">
        <f>+OMali!J39</f>
        <v>9630.2070000000003</v>
      </c>
      <c r="L118" s="33">
        <f>+CoS!E181</f>
        <v>10800.7226691411</v>
      </c>
      <c r="M118" s="33">
        <f>+CoS!F181</f>
        <v>12003.718058827419</v>
      </c>
      <c r="N118" s="33">
        <f>+CoS!G181</f>
        <v>13218.615758094162</v>
      </c>
      <c r="O118" s="33">
        <f>+CoS!H181</f>
        <v>14559.305275137927</v>
      </c>
      <c r="P118" s="33">
        <f>+CoS!I181</f>
        <v>16039.067965641627</v>
      </c>
      <c r="Q118" s="33">
        <f>+CoS!J181</f>
        <v>17694.998308208349</v>
      </c>
      <c r="R118" s="33">
        <f>+CoS!K181</f>
        <v>19223.037403328242</v>
      </c>
      <c r="S118" s="33">
        <f>+CoS!L181</f>
        <v>20754.587764915501</v>
      </c>
      <c r="T118" s="33">
        <f>+CoS!M181</f>
        <v>22264.772961763127</v>
      </c>
      <c r="U118" s="33">
        <f>+CoS!N181</f>
        <v>23886.114881703343</v>
      </c>
    </row>
    <row r="119" spans="2:21" outlineLevel="1" x14ac:dyDescent="0.25">
      <c r="C119" s="35" t="s">
        <v>1008</v>
      </c>
      <c r="D119" s="36">
        <f>D117/D118</f>
        <v>0.53919868582746955</v>
      </c>
      <c r="E119" s="37">
        <f t="shared" ref="E119:K119" si="86">E117/E118</f>
        <v>0.5054471680158773</v>
      </c>
      <c r="F119" s="37">
        <f t="shared" si="86"/>
        <v>0.47747579169074161</v>
      </c>
      <c r="G119" s="37">
        <f t="shared" si="86"/>
        <v>0.53940395885439552</v>
      </c>
      <c r="H119" s="37">
        <f t="shared" si="86"/>
        <v>0.43468833366386667</v>
      </c>
      <c r="I119" s="37">
        <f t="shared" si="86"/>
        <v>0.54247803245056703</v>
      </c>
      <c r="J119" s="37">
        <f t="shared" si="86"/>
        <v>0.51948372393339071</v>
      </c>
      <c r="K119" s="38">
        <f t="shared" si="86"/>
        <v>0.4974477703334933</v>
      </c>
      <c r="L119" s="39"/>
      <c r="M119" s="39"/>
      <c r="N119" s="39"/>
      <c r="O119" s="39"/>
      <c r="P119" s="39"/>
      <c r="Q119" s="39"/>
      <c r="R119" s="39"/>
      <c r="S119" s="39"/>
      <c r="T119" s="39"/>
      <c r="U119" s="39"/>
    </row>
    <row r="120" spans="2:21" outlineLevel="1" x14ac:dyDescent="0.25">
      <c r="C120" s="4"/>
      <c r="D120" s="55"/>
      <c r="E120" s="55"/>
      <c r="F120" s="55"/>
      <c r="G120" s="4"/>
      <c r="H120" s="4"/>
      <c r="I120" s="4"/>
      <c r="J120" s="4"/>
      <c r="K120" s="4"/>
      <c r="L120" s="4"/>
      <c r="M120" s="4"/>
      <c r="N120" s="4"/>
      <c r="O120" s="4"/>
      <c r="P120" s="4"/>
      <c r="Q120" s="4"/>
      <c r="R120" s="4"/>
    </row>
    <row r="121" spans="2:21" outlineLevel="1" x14ac:dyDescent="0.25">
      <c r="C121" s="40" t="s">
        <v>1016</v>
      </c>
      <c r="D121" s="848">
        <f>MIN(D119:K119)</f>
        <v>0.43468833366386667</v>
      </c>
      <c r="E121" s="55"/>
      <c r="F121" s="55"/>
      <c r="G121" s="6"/>
      <c r="H121" s="6"/>
      <c r="I121" s="6"/>
      <c r="J121" s="6"/>
      <c r="K121" s="6"/>
      <c r="L121" s="6"/>
      <c r="M121" s="6"/>
      <c r="N121" s="6"/>
      <c r="O121" s="6"/>
      <c r="P121" s="6"/>
      <c r="Q121" s="6"/>
      <c r="R121" s="6"/>
    </row>
    <row r="122" spans="2:21" ht="15.75" outlineLevel="1" thickBot="1" x14ac:dyDescent="0.3">
      <c r="C122" s="40" t="s">
        <v>1017</v>
      </c>
      <c r="D122" s="848">
        <f>MAX(D119:K119)</f>
        <v>0.54247803245056703</v>
      </c>
      <c r="E122" s="55"/>
      <c r="F122" s="55"/>
      <c r="G122" s="6"/>
      <c r="H122" s="6"/>
      <c r="I122" s="41">
        <f>LEFT(K116,4)+1</f>
        <v>2016</v>
      </c>
      <c r="J122" s="42">
        <f t="shared" ref="J122" si="87">I122+1</f>
        <v>2017</v>
      </c>
      <c r="K122" s="42">
        <f t="shared" ref="K122" si="88">J122+1</f>
        <v>2018</v>
      </c>
      <c r="L122" s="42">
        <f t="shared" ref="L122" si="89">K122+1</f>
        <v>2019</v>
      </c>
      <c r="M122" s="42">
        <f t="shared" ref="M122" si="90">L122+1</f>
        <v>2020</v>
      </c>
      <c r="N122" s="42">
        <f t="shared" ref="N122" si="91">M122+1</f>
        <v>2021</v>
      </c>
      <c r="O122" s="42">
        <f t="shared" ref="O122" si="92">N122+1</f>
        <v>2022</v>
      </c>
      <c r="P122" s="42">
        <f t="shared" ref="P122" si="93">O122+1</f>
        <v>2023</v>
      </c>
      <c r="Q122" s="42">
        <f t="shared" ref="Q122" si="94">P122+1</f>
        <v>2024</v>
      </c>
      <c r="R122" s="42">
        <f t="shared" ref="R122" si="95">Q122+1</f>
        <v>2025</v>
      </c>
      <c r="S122" s="43" t="s">
        <v>267</v>
      </c>
    </row>
    <row r="123" spans="2:21" outlineLevel="1" x14ac:dyDescent="0.25">
      <c r="C123" s="40" t="s">
        <v>1018</v>
      </c>
      <c r="D123" s="848">
        <f>AVERAGE(D119:K119)</f>
        <v>0.50695293309622524</v>
      </c>
      <c r="E123" s="55"/>
      <c r="F123" s="55"/>
      <c r="G123" s="2107" t="s">
        <v>1006</v>
      </c>
      <c r="H123" s="44" t="s">
        <v>1008</v>
      </c>
      <c r="I123" s="45">
        <f>K119</f>
        <v>0.4974477703334933</v>
      </c>
      <c r="J123" s="46">
        <f>I123</f>
        <v>0.4974477703334933</v>
      </c>
      <c r="K123" s="46">
        <f>J123</f>
        <v>0.4974477703334933</v>
      </c>
      <c r="L123" s="46">
        <f>K123</f>
        <v>0.4974477703334933</v>
      </c>
      <c r="M123" s="46">
        <f t="shared" ref="M123" si="96">L123</f>
        <v>0.4974477703334933</v>
      </c>
      <c r="N123" s="46">
        <f t="shared" ref="N123" si="97">M123</f>
        <v>0.4974477703334933</v>
      </c>
      <c r="O123" s="46">
        <f t="shared" ref="O123" si="98">N123</f>
        <v>0.4974477703334933</v>
      </c>
      <c r="P123" s="46">
        <f t="shared" ref="P123" si="99">O123</f>
        <v>0.4974477703334933</v>
      </c>
      <c r="Q123" s="46">
        <f t="shared" ref="Q123" si="100">P123</f>
        <v>0.4974477703334933</v>
      </c>
      <c r="R123" s="46">
        <f t="shared" ref="R123" si="101">Q123</f>
        <v>0.4974477703334933</v>
      </c>
      <c r="S123" s="47"/>
    </row>
    <row r="124" spans="2:21" ht="15.75" outlineLevel="1" thickBot="1" x14ac:dyDescent="0.3">
      <c r="C124" s="40" t="s">
        <v>1019</v>
      </c>
      <c r="D124" s="848">
        <f>MEDIAN(D119:K119)</f>
        <v>0.51246544597463406</v>
      </c>
      <c r="E124" s="55"/>
      <c r="F124" s="55"/>
      <c r="G124" s="2108"/>
      <c r="H124" s="48" t="s">
        <v>1008</v>
      </c>
      <c r="I124" s="49">
        <f>I123*L118</f>
        <v>5372.7954097546562</v>
      </c>
      <c r="J124" s="50">
        <f t="shared" ref="J124" si="102">J123*M118</f>
        <v>5971.2227840755877</v>
      </c>
      <c r="K124" s="50">
        <f t="shared" ref="K124" si="103">K123*N118</f>
        <v>6575.5709357591204</v>
      </c>
      <c r="L124" s="50">
        <f t="shared" ref="L124" si="104">L123*O118</f>
        <v>7242.4939467220292</v>
      </c>
      <c r="M124" s="50">
        <f t="shared" ref="M124" si="105">M123*P118</f>
        <v>7978.5985977357859</v>
      </c>
      <c r="N124" s="50">
        <f t="shared" ref="N124" si="106">N123*Q118</f>
        <v>8802.3374544731796</v>
      </c>
      <c r="O124" s="50">
        <f t="shared" ref="O124" si="107">O123*R118</f>
        <v>9562.4570953229795</v>
      </c>
      <c r="P124" s="50">
        <f t="shared" ref="P124" si="108">P123*S118</f>
        <v>10324.323407848016</v>
      </c>
      <c r="Q124" s="50">
        <f t="shared" ref="Q124" si="109">Q123*T118</f>
        <v>11075.561666810516</v>
      </c>
      <c r="R124" s="50">
        <f t="shared" ref="R124" si="110">R123*U118</f>
        <v>11882.094589833001</v>
      </c>
      <c r="S124" s="51"/>
    </row>
    <row r="125" spans="2:21" outlineLevel="1" x14ac:dyDescent="0.25">
      <c r="C125" s="40" t="s">
        <v>1020</v>
      </c>
      <c r="D125" s="848">
        <f>SUMPRODUCT(D119:K119,D115:K115)/SUM(D115:K115)</f>
        <v>0.5051226201548179</v>
      </c>
      <c r="E125" s="55"/>
      <c r="F125" s="55"/>
      <c r="G125" s="6"/>
      <c r="H125" s="6"/>
      <c r="I125" s="6"/>
      <c r="J125" s="6"/>
      <c r="K125" s="6"/>
      <c r="L125" s="6"/>
      <c r="M125" s="6"/>
      <c r="N125" s="6"/>
      <c r="O125" s="6"/>
      <c r="P125" s="6"/>
      <c r="Q125" s="6"/>
      <c r="R125" s="6"/>
    </row>
    <row r="126" spans="2:21" ht="13.15" customHeight="1" outlineLevel="1" x14ac:dyDescent="0.25">
      <c r="C126" s="4"/>
      <c r="D126" s="847">
        <v>1</v>
      </c>
      <c r="E126" s="847">
        <f t="shared" ref="E126" si="111">D126+1</f>
        <v>2</v>
      </c>
      <c r="F126" s="847">
        <f t="shared" ref="F126" si="112">E126+1</f>
        <v>3</v>
      </c>
      <c r="G126" s="12">
        <f t="shared" ref="G126" si="113">F126+1</f>
        <v>4</v>
      </c>
      <c r="H126" s="12">
        <f t="shared" ref="H126" si="114">G126+1</f>
        <v>5</v>
      </c>
      <c r="I126" s="12">
        <f t="shared" ref="I126" si="115">H126+1</f>
        <v>6</v>
      </c>
      <c r="J126" s="12">
        <f t="shared" ref="J126" si="116">I126+1</f>
        <v>7</v>
      </c>
      <c r="K126" s="12">
        <f t="shared" ref="K126" si="117">J126+1</f>
        <v>8</v>
      </c>
      <c r="L126" s="4"/>
      <c r="M126" s="4"/>
      <c r="N126" s="4"/>
      <c r="O126" s="4"/>
      <c r="P126" s="4"/>
      <c r="Q126" s="4"/>
      <c r="R126" s="4"/>
    </row>
    <row r="127" spans="2:21" ht="15.75" outlineLevel="1" thickBot="1" x14ac:dyDescent="0.3">
      <c r="B127" s="10" t="s">
        <v>824</v>
      </c>
      <c r="C127" s="52" t="s">
        <v>4</v>
      </c>
      <c r="D127" s="15" t="str">
        <f t="shared" ref="D127:J127" si="118">+D116</f>
        <v>2008/12</v>
      </c>
      <c r="E127" s="16" t="str">
        <f t="shared" si="118"/>
        <v>2009/12</v>
      </c>
      <c r="F127" s="16" t="str">
        <f t="shared" si="118"/>
        <v>2010/12</v>
      </c>
      <c r="G127" s="16" t="str">
        <f t="shared" si="118"/>
        <v>2011/12</v>
      </c>
      <c r="H127" s="16" t="str">
        <f t="shared" si="118"/>
        <v>2012/12</v>
      </c>
      <c r="I127" s="16" t="str">
        <f t="shared" si="118"/>
        <v>2013/12</v>
      </c>
      <c r="J127" s="16" t="str">
        <f t="shared" si="118"/>
        <v>2014/12</v>
      </c>
      <c r="K127" s="18" t="str">
        <f>+K116</f>
        <v>2015/12</v>
      </c>
      <c r="L127" s="19">
        <f>LEFT(K127,4)+1</f>
        <v>2016</v>
      </c>
      <c r="M127" s="20">
        <f t="shared" ref="M127" si="119">L127+1</f>
        <v>2017</v>
      </c>
      <c r="N127" s="20">
        <f t="shared" ref="N127" si="120">M127+1</f>
        <v>2018</v>
      </c>
      <c r="O127" s="20">
        <f t="shared" ref="O127" si="121">N127+1</f>
        <v>2019</v>
      </c>
      <c r="P127" s="20">
        <f t="shared" ref="P127" si="122">O127+1</f>
        <v>2020</v>
      </c>
      <c r="Q127" s="20">
        <f t="shared" ref="Q127" si="123">P127+1</f>
        <v>2021</v>
      </c>
      <c r="R127" s="20">
        <f t="shared" ref="R127" si="124">Q127+1</f>
        <v>2022</v>
      </c>
      <c r="S127" s="20">
        <f t="shared" ref="S127" si="125">R127+1</f>
        <v>2023</v>
      </c>
      <c r="T127" s="20">
        <f t="shared" ref="T127" si="126">S127+1</f>
        <v>2024</v>
      </c>
      <c r="U127" s="21">
        <f t="shared" ref="U127" si="127">T127+1</f>
        <v>2025</v>
      </c>
    </row>
    <row r="128" spans="2:21" outlineLevel="1" x14ac:dyDescent="0.25">
      <c r="C128" s="22" t="s">
        <v>1014</v>
      </c>
      <c r="D128" s="23">
        <f>+OMali!C8</f>
        <v>1303.931</v>
      </c>
      <c r="E128" s="24">
        <f>+OMali!D8</f>
        <v>906.78599999999994</v>
      </c>
      <c r="F128" s="24">
        <f>+OMali!E8</f>
        <v>987.52599999999995</v>
      </c>
      <c r="G128" s="24">
        <f>+OMali!F8</f>
        <v>1530.1410000000001</v>
      </c>
      <c r="H128" s="24">
        <f>+OMali!G8</f>
        <v>1599.6579999999999</v>
      </c>
      <c r="I128" s="24">
        <f>+OMali!H8</f>
        <v>1988.373</v>
      </c>
      <c r="J128" s="24">
        <f>+OMali!I8</f>
        <v>2124.9459999999999</v>
      </c>
      <c r="K128" s="25">
        <f>+OMali!J8</f>
        <v>2140.0569999999998</v>
      </c>
      <c r="L128" s="26">
        <f>Sales!E272</f>
        <v>0</v>
      </c>
      <c r="M128" s="27">
        <f>Sales!F272</f>
        <v>0</v>
      </c>
      <c r="N128" s="28">
        <f>Sales!G272</f>
        <v>0</v>
      </c>
      <c r="O128" s="28">
        <f>Sales!H272</f>
        <v>0</v>
      </c>
      <c r="P128" s="28">
        <f>Sales!I272</f>
        <v>0</v>
      </c>
      <c r="Q128" s="28">
        <f>Sales!J272</f>
        <v>0</v>
      </c>
      <c r="R128" s="28">
        <f>Sales!K272</f>
        <v>0</v>
      </c>
      <c r="S128" s="28">
        <f>Sales!L272</f>
        <v>0</v>
      </c>
      <c r="T128" s="28">
        <f>Sales!M272</f>
        <v>0</v>
      </c>
      <c r="U128" s="28">
        <f>Sales!N272</f>
        <v>0</v>
      </c>
    </row>
    <row r="129" spans="2:21" outlineLevel="1" x14ac:dyDescent="0.25">
      <c r="C129" s="29" t="s">
        <v>296</v>
      </c>
      <c r="D129" s="30">
        <f>+D118</f>
        <v>4905.2920000000004</v>
      </c>
      <c r="E129" s="31">
        <f t="shared" ref="E129:K129" si="128">+E118</f>
        <v>4417.8919999999998</v>
      </c>
      <c r="F129" s="31">
        <f t="shared" si="128"/>
        <v>4868.473</v>
      </c>
      <c r="G129" s="31">
        <f t="shared" si="128"/>
        <v>5897.009</v>
      </c>
      <c r="H129" s="31">
        <f t="shared" si="128"/>
        <v>7503.0240000000003</v>
      </c>
      <c r="I129" s="31">
        <f t="shared" si="128"/>
        <v>7709.326</v>
      </c>
      <c r="J129" s="31">
        <f t="shared" si="128"/>
        <v>8535.2009999999991</v>
      </c>
      <c r="K129" s="32">
        <f t="shared" si="128"/>
        <v>9630.2070000000003</v>
      </c>
      <c r="L129" s="33">
        <f>+L118</f>
        <v>10800.7226691411</v>
      </c>
      <c r="M129" s="33">
        <f t="shared" ref="M129:U129" si="129">+M118</f>
        <v>12003.718058827419</v>
      </c>
      <c r="N129" s="33">
        <f t="shared" si="129"/>
        <v>13218.615758094162</v>
      </c>
      <c r="O129" s="33">
        <f t="shared" si="129"/>
        <v>14559.305275137927</v>
      </c>
      <c r="P129" s="33">
        <f t="shared" si="129"/>
        <v>16039.067965641627</v>
      </c>
      <c r="Q129" s="33">
        <f t="shared" si="129"/>
        <v>17694.998308208349</v>
      </c>
      <c r="R129" s="33">
        <f t="shared" si="129"/>
        <v>19223.037403328242</v>
      </c>
      <c r="S129" s="33">
        <f t="shared" si="129"/>
        <v>20754.587764915501</v>
      </c>
      <c r="T129" s="33">
        <f t="shared" si="129"/>
        <v>22264.772961763127</v>
      </c>
      <c r="U129" s="33">
        <f t="shared" si="129"/>
        <v>23886.114881703343</v>
      </c>
    </row>
    <row r="130" spans="2:21" outlineLevel="1" x14ac:dyDescent="0.25">
      <c r="C130" s="35" t="s">
        <v>1015</v>
      </c>
      <c r="D130" s="36">
        <f>D128/D129</f>
        <v>0.26582128036414548</v>
      </c>
      <c r="E130" s="37">
        <f t="shared" ref="E130:K130" si="130">E128/E129</f>
        <v>0.2052530935568366</v>
      </c>
      <c r="F130" s="37">
        <f t="shared" si="130"/>
        <v>0.20284101400993698</v>
      </c>
      <c r="G130" s="37">
        <f t="shared" si="130"/>
        <v>0.25947747408898308</v>
      </c>
      <c r="H130" s="37">
        <f t="shared" si="130"/>
        <v>0.21320177037951629</v>
      </c>
      <c r="I130" s="37">
        <f t="shared" si="130"/>
        <v>0.25791787764585389</v>
      </c>
      <c r="J130" s="37">
        <f t="shared" si="130"/>
        <v>0.2489626196266497</v>
      </c>
      <c r="K130" s="38">
        <f t="shared" si="130"/>
        <v>0.22222336446142849</v>
      </c>
      <c r="L130" s="39"/>
      <c r="M130" s="39"/>
      <c r="N130" s="39"/>
      <c r="O130" s="39"/>
      <c r="P130" s="39"/>
      <c r="Q130" s="39"/>
      <c r="R130" s="39"/>
      <c r="S130" s="39"/>
      <c r="T130" s="39"/>
      <c r="U130" s="39"/>
    </row>
    <row r="131" spans="2:21" outlineLevel="1" x14ac:dyDescent="0.25">
      <c r="C131" s="4"/>
      <c r="D131" s="55"/>
      <c r="E131" s="55"/>
      <c r="F131" s="55"/>
      <c r="G131" s="4"/>
      <c r="H131" s="4"/>
      <c r="I131" s="4"/>
      <c r="J131" s="4"/>
      <c r="K131" s="4"/>
      <c r="L131" s="4"/>
      <c r="M131" s="4"/>
      <c r="N131" s="4"/>
      <c r="O131" s="4"/>
      <c r="P131" s="4"/>
      <c r="Q131" s="4"/>
      <c r="R131" s="4"/>
    </row>
    <row r="132" spans="2:21" outlineLevel="1" x14ac:dyDescent="0.25">
      <c r="C132" s="40" t="s">
        <v>1054</v>
      </c>
      <c r="D132" s="848">
        <f>MIN(D130:K130)</f>
        <v>0.20284101400993698</v>
      </c>
      <c r="E132" s="55"/>
      <c r="F132" s="55"/>
      <c r="G132" s="6"/>
      <c r="H132" s="6"/>
      <c r="I132" s="6"/>
      <c r="J132" s="6"/>
      <c r="K132" s="6"/>
      <c r="L132" s="6"/>
      <c r="M132" s="6"/>
      <c r="N132" s="6"/>
      <c r="O132" s="6"/>
      <c r="P132" s="6"/>
      <c r="Q132" s="6"/>
      <c r="R132" s="6"/>
    </row>
    <row r="133" spans="2:21" ht="15.75" outlineLevel="1" thickBot="1" x14ac:dyDescent="0.3">
      <c r="C133" s="40" t="s">
        <v>1055</v>
      </c>
      <c r="D133" s="848">
        <f>MAX(D130:K130)</f>
        <v>0.26582128036414548</v>
      </c>
      <c r="E133" s="55"/>
      <c r="F133" s="55"/>
      <c r="G133" s="6"/>
      <c r="H133" s="6"/>
      <c r="I133" s="41">
        <f>LEFT(K127,4)+1</f>
        <v>2016</v>
      </c>
      <c r="J133" s="42">
        <f t="shared" ref="J133" si="131">I133+1</f>
        <v>2017</v>
      </c>
      <c r="K133" s="42">
        <f t="shared" ref="K133" si="132">J133+1</f>
        <v>2018</v>
      </c>
      <c r="L133" s="42">
        <f t="shared" ref="L133" si="133">K133+1</f>
        <v>2019</v>
      </c>
      <c r="M133" s="42">
        <f t="shared" ref="M133" si="134">L133+1</f>
        <v>2020</v>
      </c>
      <c r="N133" s="42">
        <f t="shared" ref="N133" si="135">M133+1</f>
        <v>2021</v>
      </c>
      <c r="O133" s="42">
        <f t="shared" ref="O133" si="136">N133+1</f>
        <v>2022</v>
      </c>
      <c r="P133" s="42">
        <f t="shared" ref="P133" si="137">O133+1</f>
        <v>2023</v>
      </c>
      <c r="Q133" s="42">
        <f t="shared" ref="Q133" si="138">P133+1</f>
        <v>2024</v>
      </c>
      <c r="R133" s="42">
        <f t="shared" ref="R133" si="139">Q133+1</f>
        <v>2025</v>
      </c>
      <c r="S133" s="43" t="s">
        <v>267</v>
      </c>
    </row>
    <row r="134" spans="2:21" outlineLevel="1" x14ac:dyDescent="0.25">
      <c r="C134" s="40" t="s">
        <v>1056</v>
      </c>
      <c r="D134" s="848">
        <f>AVERAGE(D130:K130)</f>
        <v>0.23446231176666882</v>
      </c>
      <c r="E134" s="55"/>
      <c r="F134" s="55"/>
      <c r="G134" s="2107" t="s">
        <v>1006</v>
      </c>
      <c r="H134" s="44" t="s">
        <v>1015</v>
      </c>
      <c r="I134" s="45">
        <f>K130</f>
        <v>0.22222336446142849</v>
      </c>
      <c r="J134" s="46">
        <f t="shared" ref="J134" si="140">I134</f>
        <v>0.22222336446142849</v>
      </c>
      <c r="K134" s="46">
        <f t="shared" ref="K134" si="141">J134</f>
        <v>0.22222336446142849</v>
      </c>
      <c r="L134" s="46">
        <f t="shared" ref="L134" si="142">K134</f>
        <v>0.22222336446142849</v>
      </c>
      <c r="M134" s="46">
        <f t="shared" ref="M134" si="143">L134</f>
        <v>0.22222336446142849</v>
      </c>
      <c r="N134" s="46">
        <f t="shared" ref="N134" si="144">M134</f>
        <v>0.22222336446142849</v>
      </c>
      <c r="O134" s="46">
        <f t="shared" ref="O134" si="145">N134</f>
        <v>0.22222336446142849</v>
      </c>
      <c r="P134" s="46">
        <f t="shared" ref="P134" si="146">O134</f>
        <v>0.22222336446142849</v>
      </c>
      <c r="Q134" s="46">
        <f t="shared" ref="Q134" si="147">P134</f>
        <v>0.22222336446142849</v>
      </c>
      <c r="R134" s="46">
        <f t="shared" ref="R134" si="148">Q134</f>
        <v>0.22222336446142849</v>
      </c>
      <c r="S134" s="47"/>
    </row>
    <row r="135" spans="2:21" ht="15.75" outlineLevel="1" thickBot="1" x14ac:dyDescent="0.3">
      <c r="C135" s="40" t="s">
        <v>1057</v>
      </c>
      <c r="D135" s="848">
        <f>MEDIAN(D130:K130)</f>
        <v>0.23559299204403911</v>
      </c>
      <c r="E135" s="55"/>
      <c r="F135" s="55"/>
      <c r="G135" s="2108"/>
      <c r="H135" s="48" t="s">
        <v>1015</v>
      </c>
      <c r="I135" s="49">
        <f t="shared" ref="I135" si="149">I134*L129</f>
        <v>2400.1729301513551</v>
      </c>
      <c r="J135" s="50">
        <f t="shared" ref="J135" si="150">J134*M129</f>
        <v>2667.5066130790365</v>
      </c>
      <c r="K135" s="50">
        <f t="shared" ref="K135" si="151">K134*N129</f>
        <v>2937.4852672865409</v>
      </c>
      <c r="L135" s="50">
        <f t="shared" ref="L135" si="152">L134*O129</f>
        <v>3235.4178024621738</v>
      </c>
      <c r="M135" s="50">
        <f t="shared" ref="M135" si="153">M134*P129</f>
        <v>3564.2556461504014</v>
      </c>
      <c r="N135" s="50">
        <f t="shared" ref="N135" si="154">N134*Q129</f>
        <v>3932.2420581893443</v>
      </c>
      <c r="O135" s="50">
        <f t="shared" ref="O135" si="155">O134*R129</f>
        <v>4271.8080469354836</v>
      </c>
      <c r="P135" s="50">
        <f t="shared" ref="P135" si="156">P134*S129</f>
        <v>4612.154321129522</v>
      </c>
      <c r="Q135" s="50">
        <f t="shared" ref="Q135" si="157">Q134*T129</f>
        <v>4947.7527565328455</v>
      </c>
      <c r="R135" s="50">
        <f t="shared" ref="R135" si="158">R134*U129</f>
        <v>5308.052812924313</v>
      </c>
      <c r="S135" s="51"/>
    </row>
    <row r="136" spans="2:21" outlineLevel="1" x14ac:dyDescent="0.25">
      <c r="C136" s="40" t="s">
        <v>1058</v>
      </c>
      <c r="D136" s="848">
        <f>SUMPRODUCT(D130:K130,D126:K126)/SUM(D126:K126)</f>
        <v>0.23491116046428451</v>
      </c>
      <c r="E136" s="55"/>
      <c r="F136" s="55"/>
      <c r="G136" s="6"/>
      <c r="H136" s="6"/>
      <c r="I136" s="6"/>
      <c r="J136" s="6"/>
      <c r="K136" s="6"/>
      <c r="L136" s="6"/>
      <c r="M136" s="6"/>
      <c r="N136" s="6"/>
      <c r="O136" s="6"/>
      <c r="P136" s="6"/>
      <c r="Q136" s="6"/>
      <c r="R136" s="6"/>
    </row>
    <row r="137" spans="2:21" ht="13.15" customHeight="1" outlineLevel="1" x14ac:dyDescent="0.25">
      <c r="C137" s="4"/>
      <c r="D137" s="847">
        <v>1</v>
      </c>
      <c r="E137" s="847">
        <f t="shared" ref="E137" si="159">D137+1</f>
        <v>2</v>
      </c>
      <c r="F137" s="847">
        <f t="shared" ref="F137" si="160">E137+1</f>
        <v>3</v>
      </c>
      <c r="G137" s="12">
        <f t="shared" ref="G137" si="161">F137+1</f>
        <v>4</v>
      </c>
      <c r="H137" s="12">
        <f t="shared" ref="H137" si="162">G137+1</f>
        <v>5</v>
      </c>
      <c r="I137" s="12">
        <f t="shared" ref="I137" si="163">H137+1</f>
        <v>6</v>
      </c>
      <c r="J137" s="12">
        <f t="shared" ref="J137" si="164">I137+1</f>
        <v>7</v>
      </c>
      <c r="K137" s="12">
        <f t="shared" ref="K137" si="165">J137+1</f>
        <v>8</v>
      </c>
      <c r="L137" s="4"/>
      <c r="M137" s="4"/>
      <c r="N137" s="4"/>
      <c r="O137" s="4"/>
      <c r="P137" s="4"/>
      <c r="Q137" s="4"/>
      <c r="R137" s="4"/>
    </row>
    <row r="138" spans="2:21" ht="15.75" outlineLevel="1" thickBot="1" x14ac:dyDescent="0.3">
      <c r="B138" s="10" t="s">
        <v>824</v>
      </c>
      <c r="C138" s="52" t="s">
        <v>94</v>
      </c>
      <c r="D138" s="1167" t="str">
        <f t="shared" ref="D138:K138" si="166">+D127</f>
        <v>2008/12</v>
      </c>
      <c r="E138" s="1168" t="str">
        <f t="shared" si="166"/>
        <v>2009/12</v>
      </c>
      <c r="F138" s="1168" t="str">
        <f t="shared" si="166"/>
        <v>2010/12</v>
      </c>
      <c r="G138" s="1168" t="str">
        <f t="shared" si="166"/>
        <v>2011/12</v>
      </c>
      <c r="H138" s="1168" t="str">
        <f t="shared" si="166"/>
        <v>2012/12</v>
      </c>
      <c r="I138" s="1168" t="str">
        <f t="shared" si="166"/>
        <v>2013/12</v>
      </c>
      <c r="J138" s="1168" t="str">
        <f t="shared" si="166"/>
        <v>2014/12</v>
      </c>
      <c r="K138" s="1169" t="str">
        <f t="shared" si="166"/>
        <v>2015/12</v>
      </c>
      <c r="L138" s="19">
        <f>LEFT(K138,4)+1</f>
        <v>2016</v>
      </c>
      <c r="M138" s="20">
        <f t="shared" ref="M138" si="167">L138+1</f>
        <v>2017</v>
      </c>
      <c r="N138" s="20">
        <f t="shared" ref="N138" si="168">M138+1</f>
        <v>2018</v>
      </c>
      <c r="O138" s="20">
        <f t="shared" ref="O138" si="169">N138+1</f>
        <v>2019</v>
      </c>
      <c r="P138" s="20">
        <f t="shared" ref="P138" si="170">O138+1</f>
        <v>2020</v>
      </c>
      <c r="Q138" s="20">
        <f t="shared" ref="Q138" si="171">P138+1</f>
        <v>2021</v>
      </c>
      <c r="R138" s="20">
        <f t="shared" ref="R138" si="172">Q138+1</f>
        <v>2022</v>
      </c>
      <c r="S138" s="20">
        <f t="shared" ref="S138" si="173">R138+1</f>
        <v>2023</v>
      </c>
      <c r="T138" s="20">
        <f t="shared" ref="T138" si="174">S138+1</f>
        <v>2024</v>
      </c>
      <c r="U138" s="21">
        <f t="shared" ref="U138" si="175">T138+1</f>
        <v>2025</v>
      </c>
    </row>
    <row r="139" spans="2:21" outlineLevel="1" x14ac:dyDescent="0.25">
      <c r="C139" s="22" t="s">
        <v>94</v>
      </c>
      <c r="D139" s="23">
        <f>+Mali!C106+Mali!C102</f>
        <v>198.29400000000001</v>
      </c>
      <c r="E139" s="24">
        <f>+Mali!D106+Mali!D102</f>
        <v>204.65899999999999</v>
      </c>
      <c r="F139" s="24">
        <f>+Mali!E106+Mali!E102</f>
        <v>205.16</v>
      </c>
      <c r="G139" s="24">
        <f>+Mali!F106+Mali!F102</f>
        <v>232.39</v>
      </c>
      <c r="H139" s="24">
        <f>+Mali!G106+Mali!G102</f>
        <v>233.37700000000001</v>
      </c>
      <c r="I139" s="24">
        <f>+Mali!H106+Mali!H102</f>
        <v>258.548</v>
      </c>
      <c r="J139" s="24">
        <f>+Mali!I106+Mali!I102</f>
        <v>263.99200000000002</v>
      </c>
      <c r="K139" s="25">
        <f>+Mali!J106+Mali!J102</f>
        <v>334.536</v>
      </c>
      <c r="L139" s="26">
        <f>Sales!E294</f>
        <v>0</v>
      </c>
      <c r="M139" s="27">
        <f>Sales!F294</f>
        <v>0</v>
      </c>
      <c r="N139" s="28">
        <f>Sales!G294</f>
        <v>0</v>
      </c>
      <c r="O139" s="28">
        <f>Sales!H294</f>
        <v>0</v>
      </c>
      <c r="P139" s="28">
        <f>Sales!I294</f>
        <v>0</v>
      </c>
      <c r="Q139" s="28">
        <f>Sales!J294</f>
        <v>0</v>
      </c>
      <c r="R139" s="28">
        <f>Sales!K294</f>
        <v>0</v>
      </c>
      <c r="S139" s="28">
        <f>Sales!L294</f>
        <v>0</v>
      </c>
      <c r="T139" s="28">
        <f>Sales!M294</f>
        <v>0</v>
      </c>
      <c r="U139" s="28">
        <f>Sales!N294</f>
        <v>0</v>
      </c>
    </row>
    <row r="140" spans="2:21" outlineLevel="1" x14ac:dyDescent="0.25">
      <c r="C140" s="29" t="s">
        <v>296</v>
      </c>
      <c r="D140" s="30">
        <f t="shared" ref="D140:K140" si="176">+D129</f>
        <v>4905.2920000000004</v>
      </c>
      <c r="E140" s="31">
        <f t="shared" si="176"/>
        <v>4417.8919999999998</v>
      </c>
      <c r="F140" s="31">
        <f t="shared" si="176"/>
        <v>4868.473</v>
      </c>
      <c r="G140" s="31">
        <f t="shared" si="176"/>
        <v>5897.009</v>
      </c>
      <c r="H140" s="31">
        <f t="shared" si="176"/>
        <v>7503.0240000000003</v>
      </c>
      <c r="I140" s="31">
        <f t="shared" si="176"/>
        <v>7709.326</v>
      </c>
      <c r="J140" s="31">
        <f t="shared" si="176"/>
        <v>8535.2009999999991</v>
      </c>
      <c r="K140" s="32">
        <f t="shared" si="176"/>
        <v>9630.2070000000003</v>
      </c>
      <c r="L140" s="33">
        <f>+L129</f>
        <v>10800.7226691411</v>
      </c>
      <c r="M140" s="33">
        <f t="shared" ref="M140:U140" si="177">+M129</f>
        <v>12003.718058827419</v>
      </c>
      <c r="N140" s="33">
        <f t="shared" si="177"/>
        <v>13218.615758094162</v>
      </c>
      <c r="O140" s="33">
        <f t="shared" si="177"/>
        <v>14559.305275137927</v>
      </c>
      <c r="P140" s="33">
        <f t="shared" si="177"/>
        <v>16039.067965641627</v>
      </c>
      <c r="Q140" s="33">
        <f t="shared" si="177"/>
        <v>17694.998308208349</v>
      </c>
      <c r="R140" s="33">
        <f t="shared" si="177"/>
        <v>19223.037403328242</v>
      </c>
      <c r="S140" s="33">
        <f t="shared" si="177"/>
        <v>20754.587764915501</v>
      </c>
      <c r="T140" s="33">
        <f t="shared" si="177"/>
        <v>22264.772961763127</v>
      </c>
      <c r="U140" s="33">
        <f t="shared" si="177"/>
        <v>23886.114881703343</v>
      </c>
    </row>
    <row r="141" spans="2:21" outlineLevel="1" x14ac:dyDescent="0.25">
      <c r="C141" s="35" t="s">
        <v>1028</v>
      </c>
      <c r="D141" s="36">
        <f>D139/D140</f>
        <v>4.0424504800121989E-2</v>
      </c>
      <c r="E141" s="37">
        <f t="shared" ref="E141:K141" si="178">E139/E140</f>
        <v>4.63250346545366E-2</v>
      </c>
      <c r="F141" s="37">
        <f t="shared" si="178"/>
        <v>4.2140523322199794E-2</v>
      </c>
      <c r="G141" s="37">
        <f t="shared" si="178"/>
        <v>3.9408113502963957E-2</v>
      </c>
      <c r="H141" s="37">
        <f t="shared" si="178"/>
        <v>3.1104392042461813E-2</v>
      </c>
      <c r="I141" s="37">
        <f t="shared" si="178"/>
        <v>3.3537043316108309E-2</v>
      </c>
      <c r="J141" s="37">
        <f t="shared" si="178"/>
        <v>3.0929792983199814E-2</v>
      </c>
      <c r="K141" s="38">
        <f t="shared" si="178"/>
        <v>3.4738194101123679E-2</v>
      </c>
      <c r="L141" s="39"/>
      <c r="M141" s="39"/>
      <c r="N141" s="39"/>
      <c r="O141" s="39"/>
      <c r="P141" s="39"/>
      <c r="Q141" s="39"/>
      <c r="R141" s="39"/>
      <c r="S141" s="39"/>
      <c r="T141" s="39"/>
      <c r="U141" s="39"/>
    </row>
    <row r="142" spans="2:21" outlineLevel="1" x14ac:dyDescent="0.25">
      <c r="C142" s="4"/>
      <c r="D142" s="55"/>
      <c r="E142" s="55"/>
      <c r="F142" s="55"/>
      <c r="G142" s="4"/>
      <c r="H142" s="4"/>
      <c r="I142" s="4"/>
      <c r="J142" s="4"/>
      <c r="K142" s="4"/>
      <c r="L142" s="4"/>
      <c r="M142" s="4"/>
      <c r="N142" s="4"/>
      <c r="O142" s="4"/>
      <c r="P142" s="4"/>
      <c r="Q142" s="4"/>
      <c r="R142" s="4"/>
    </row>
    <row r="143" spans="2:21" outlineLevel="1" x14ac:dyDescent="0.25">
      <c r="C143" s="40" t="s">
        <v>1034</v>
      </c>
      <c r="D143" s="848">
        <f>MIN(D141:K141)</f>
        <v>3.0929792983199814E-2</v>
      </c>
      <c r="E143" s="55"/>
      <c r="F143" s="55"/>
      <c r="G143" s="6"/>
      <c r="H143" s="6"/>
      <c r="I143" s="6"/>
      <c r="J143" s="6"/>
      <c r="K143" s="6"/>
      <c r="L143" s="6"/>
      <c r="M143" s="6"/>
      <c r="N143" s="6"/>
      <c r="O143" s="6"/>
      <c r="P143" s="6"/>
      <c r="Q143" s="6"/>
      <c r="R143" s="6"/>
    </row>
    <row r="144" spans="2:21" ht="15.75" outlineLevel="1" thickBot="1" x14ac:dyDescent="0.3">
      <c r="C144" s="40" t="s">
        <v>1059</v>
      </c>
      <c r="D144" s="848">
        <f>MAX(D141:K141)</f>
        <v>4.63250346545366E-2</v>
      </c>
      <c r="E144" s="55"/>
      <c r="F144" s="55"/>
      <c r="G144" s="6"/>
      <c r="H144" s="6"/>
      <c r="I144" s="41">
        <f>LEFT(K138,4)+1</f>
        <v>2016</v>
      </c>
      <c r="J144" s="42">
        <f t="shared" ref="J144" si="179">I144+1</f>
        <v>2017</v>
      </c>
      <c r="K144" s="42">
        <f t="shared" ref="K144" si="180">J144+1</f>
        <v>2018</v>
      </c>
      <c r="L144" s="42">
        <f t="shared" ref="L144" si="181">K144+1</f>
        <v>2019</v>
      </c>
      <c r="M144" s="42">
        <f t="shared" ref="M144" si="182">L144+1</f>
        <v>2020</v>
      </c>
      <c r="N144" s="42">
        <f t="shared" ref="N144" si="183">M144+1</f>
        <v>2021</v>
      </c>
      <c r="O144" s="42">
        <f t="shared" ref="O144" si="184">N144+1</f>
        <v>2022</v>
      </c>
      <c r="P144" s="42">
        <f t="shared" ref="P144" si="185">O144+1</f>
        <v>2023</v>
      </c>
      <c r="Q144" s="42">
        <f t="shared" ref="Q144" si="186">P144+1</f>
        <v>2024</v>
      </c>
      <c r="R144" s="42">
        <f t="shared" ref="R144" si="187">Q144+1</f>
        <v>2025</v>
      </c>
      <c r="S144" s="43" t="s">
        <v>267</v>
      </c>
    </row>
    <row r="145" spans="2:21" outlineLevel="1" x14ac:dyDescent="0.25">
      <c r="C145" s="40" t="s">
        <v>1060</v>
      </c>
      <c r="D145" s="848">
        <f>AVERAGE(D141:K141)</f>
        <v>3.7325949840339497E-2</v>
      </c>
      <c r="E145" s="55"/>
      <c r="F145" s="55"/>
      <c r="G145" s="2107" t="s">
        <v>1006</v>
      </c>
      <c r="H145" s="44" t="s">
        <v>1070</v>
      </c>
      <c r="I145" s="45">
        <f>K141</f>
        <v>3.4738194101123679E-2</v>
      </c>
      <c r="J145" s="46">
        <f>I145</f>
        <v>3.4738194101123679E-2</v>
      </c>
      <c r="K145" s="46">
        <f>J145</f>
        <v>3.4738194101123679E-2</v>
      </c>
      <c r="L145" s="46">
        <f>K145</f>
        <v>3.4738194101123679E-2</v>
      </c>
      <c r="M145" s="46">
        <f>L145</f>
        <v>3.4738194101123679E-2</v>
      </c>
      <c r="N145" s="46">
        <f>M145-($M$30-$R$30)/5</f>
        <v>3.4738194101123679E-2</v>
      </c>
      <c r="O145" s="46">
        <f>N145-($M$30-$R$30)/5</f>
        <v>3.4738194101123679E-2</v>
      </c>
      <c r="P145" s="46">
        <f>O145-($M$30-$R$30)/5</f>
        <v>3.4738194101123679E-2</v>
      </c>
      <c r="Q145" s="46">
        <f>P145-($M$30-$R$30)/5</f>
        <v>3.4738194101123679E-2</v>
      </c>
      <c r="R145" s="46">
        <f>Q145-($M$30-$R$30)/5</f>
        <v>3.4738194101123679E-2</v>
      </c>
      <c r="S145" s="47"/>
    </row>
    <row r="146" spans="2:21" ht="15.75" outlineLevel="1" thickBot="1" x14ac:dyDescent="0.3">
      <c r="C146" s="40" t="s">
        <v>1061</v>
      </c>
      <c r="D146" s="848">
        <f>MEDIAN(D141:K141)</f>
        <v>3.7073153802043818E-2</v>
      </c>
      <c r="E146" s="55"/>
      <c r="F146" s="55"/>
      <c r="G146" s="2108"/>
      <c r="H146" s="48" t="s">
        <v>1070</v>
      </c>
      <c r="I146" s="49">
        <f t="shared" ref="I146" si="188">I145*L140</f>
        <v>375.19760051303012</v>
      </c>
      <c r="J146" s="50">
        <f t="shared" ref="J146" si="189">J145*M140</f>
        <v>416.9874878627104</v>
      </c>
      <c r="K146" s="50">
        <f t="shared" ref="K146" si="190">K145*N140</f>
        <v>459.19083995284711</v>
      </c>
      <c r="L146" s="50">
        <f t="shared" ref="L146" si="191">L145*O140</f>
        <v>505.76397262525524</v>
      </c>
      <c r="M146" s="50">
        <f t="shared" ref="M146" si="192">M145*P140</f>
        <v>557.16825619157373</v>
      </c>
      <c r="N146" s="50">
        <f t="shared" ref="N146" si="193">N145*Q140</f>
        <v>614.69228584959671</v>
      </c>
      <c r="O146" s="50">
        <f t="shared" ref="O146" si="194">O145*R140</f>
        <v>667.77360452997698</v>
      </c>
      <c r="P146" s="50">
        <f t="shared" ref="P146" si="195">P145*S140</f>
        <v>720.97689826644137</v>
      </c>
      <c r="Q146" s="50">
        <f t="shared" ref="Q146" si="196">Q145*T140</f>
        <v>773.43800476317779</v>
      </c>
      <c r="R146" s="50">
        <f t="shared" ref="R146" si="197">R145*U140</f>
        <v>829.76049508234962</v>
      </c>
      <c r="S146" s="51"/>
    </row>
    <row r="147" spans="2:21" outlineLevel="1" x14ac:dyDescent="0.25">
      <c r="C147" s="40" t="s">
        <v>1062</v>
      </c>
      <c r="D147" s="848">
        <f>SUMPRODUCT(D141:K141,D137:K137)/SUM(D137:K137)</f>
        <v>3.5230192274666595E-2</v>
      </c>
      <c r="E147" s="55"/>
      <c r="F147" s="55"/>
      <c r="G147" s="6"/>
      <c r="H147" s="6"/>
      <c r="I147" s="6"/>
      <c r="J147" s="6"/>
      <c r="K147" s="6"/>
      <c r="L147" s="6"/>
      <c r="M147" s="6"/>
      <c r="N147" s="6"/>
      <c r="O147" s="6"/>
      <c r="P147" s="6"/>
      <c r="Q147" s="6"/>
      <c r="R147" s="6"/>
    </row>
    <row r="148" spans="2:21" ht="13.15" customHeight="1" outlineLevel="1" x14ac:dyDescent="0.25">
      <c r="C148" s="4"/>
      <c r="D148" s="847">
        <v>1</v>
      </c>
      <c r="E148" s="847">
        <f t="shared" ref="E148" si="198">D148+1</f>
        <v>2</v>
      </c>
      <c r="F148" s="847">
        <f t="shared" ref="F148" si="199">E148+1</f>
        <v>3</v>
      </c>
      <c r="G148" s="12">
        <f t="shared" ref="G148" si="200">F148+1</f>
        <v>4</v>
      </c>
      <c r="H148" s="12">
        <f t="shared" ref="H148" si="201">G148+1</f>
        <v>5</v>
      </c>
      <c r="I148" s="12">
        <f t="shared" ref="I148" si="202">H148+1</f>
        <v>6</v>
      </c>
      <c r="J148" s="12">
        <f t="shared" ref="J148" si="203">I148+1</f>
        <v>7</v>
      </c>
      <c r="K148" s="12">
        <f t="shared" ref="K148" si="204">J148+1</f>
        <v>8</v>
      </c>
      <c r="L148" s="4"/>
      <c r="M148" s="4"/>
      <c r="N148" s="4"/>
      <c r="O148" s="4"/>
      <c r="P148" s="4"/>
      <c r="Q148" s="4"/>
      <c r="R148" s="4"/>
    </row>
    <row r="149" spans="2:21" ht="15.75" outlineLevel="1" thickBot="1" x14ac:dyDescent="0.3">
      <c r="B149" s="10" t="s">
        <v>824</v>
      </c>
      <c r="C149" s="52" t="s">
        <v>780</v>
      </c>
      <c r="D149" s="15" t="str">
        <f t="shared" ref="D149:K149" si="205">+D183</f>
        <v>2008/12</v>
      </c>
      <c r="E149" s="16" t="str">
        <f t="shared" si="205"/>
        <v>2009/12</v>
      </c>
      <c r="F149" s="16" t="str">
        <f t="shared" si="205"/>
        <v>2010/12</v>
      </c>
      <c r="G149" s="16" t="str">
        <f t="shared" si="205"/>
        <v>2011/12</v>
      </c>
      <c r="H149" s="16" t="str">
        <f t="shared" si="205"/>
        <v>2012/12</v>
      </c>
      <c r="I149" s="16" t="str">
        <f t="shared" si="205"/>
        <v>2013/12</v>
      </c>
      <c r="J149" s="16" t="str">
        <f t="shared" si="205"/>
        <v>2014/12</v>
      </c>
      <c r="K149" s="18" t="str">
        <f t="shared" si="205"/>
        <v>2015/12</v>
      </c>
      <c r="L149" s="19">
        <f>LEFT(K149,4)+1</f>
        <v>2016</v>
      </c>
      <c r="M149" s="20">
        <f t="shared" ref="M149" si="206">L149+1</f>
        <v>2017</v>
      </c>
      <c r="N149" s="20">
        <f t="shared" ref="N149" si="207">M149+1</f>
        <v>2018</v>
      </c>
      <c r="O149" s="20">
        <f t="shared" ref="O149" si="208">N149+1</f>
        <v>2019</v>
      </c>
      <c r="P149" s="20">
        <f t="shared" ref="P149" si="209">O149+1</f>
        <v>2020</v>
      </c>
      <c r="Q149" s="20">
        <f t="shared" ref="Q149" si="210">P149+1</f>
        <v>2021</v>
      </c>
      <c r="R149" s="20">
        <f t="shared" ref="R149" si="211">Q149+1</f>
        <v>2022</v>
      </c>
      <c r="S149" s="20">
        <f t="shared" ref="S149" si="212">R149+1</f>
        <v>2023</v>
      </c>
      <c r="T149" s="20">
        <f t="shared" ref="T149" si="213">S149+1</f>
        <v>2024</v>
      </c>
      <c r="U149" s="21">
        <f t="shared" ref="U149" si="214">T149+1</f>
        <v>2025</v>
      </c>
    </row>
    <row r="150" spans="2:21" outlineLevel="1" x14ac:dyDescent="0.25">
      <c r="C150" s="22" t="s">
        <v>780</v>
      </c>
      <c r="D150" s="23">
        <f>IF(Duz!D115&gt;0,Duz!D115,0)</f>
        <v>0</v>
      </c>
      <c r="E150" s="24">
        <f>IF(Duz!E115&gt;0,Duz!E115,0)</f>
        <v>0</v>
      </c>
      <c r="F150" s="24">
        <f>IF(Duz!F115&gt;0,Duz!F115,0)</f>
        <v>0</v>
      </c>
      <c r="G150" s="24">
        <f>IF(Duz!G115&gt;0,Duz!G115,0)</f>
        <v>0</v>
      </c>
      <c r="H150" s="24">
        <f>IF(Duz!H115&gt;0,Duz!H115,0)</f>
        <v>0</v>
      </c>
      <c r="I150" s="24">
        <f>IF(Duz!I115&gt;0,Duz!I115,0)</f>
        <v>0</v>
      </c>
      <c r="J150" s="24">
        <f>IF(Duz!J115&gt;0,Duz!J115,0)</f>
        <v>0</v>
      </c>
      <c r="K150" s="538">
        <f>IF(Duz!K115&gt;0,Duz!K115,0)</f>
        <v>0</v>
      </c>
      <c r="L150" s="26">
        <f>Sales!E349</f>
        <v>0</v>
      </c>
      <c r="M150" s="27">
        <f>Sales!F349</f>
        <v>0</v>
      </c>
      <c r="N150" s="28">
        <f>Sales!G349</f>
        <v>0</v>
      </c>
      <c r="O150" s="28">
        <f>Sales!H349</f>
        <v>0</v>
      </c>
      <c r="P150" s="28">
        <f>Sales!I349</f>
        <v>0</v>
      </c>
      <c r="Q150" s="28">
        <f>Sales!J349</f>
        <v>0</v>
      </c>
      <c r="R150" s="28">
        <f>Sales!K349</f>
        <v>0</v>
      </c>
      <c r="S150" s="28">
        <f>Sales!L349</f>
        <v>0</v>
      </c>
      <c r="T150" s="28">
        <f>Sales!M349</f>
        <v>0</v>
      </c>
      <c r="U150" s="28">
        <f>Sales!N349</f>
        <v>0</v>
      </c>
    </row>
    <row r="151" spans="2:21" outlineLevel="1" x14ac:dyDescent="0.25">
      <c r="C151" s="29" t="s">
        <v>296</v>
      </c>
      <c r="D151" s="30">
        <f t="shared" ref="D151:K151" si="215">+D185</f>
        <v>4905.2920000000004</v>
      </c>
      <c r="E151" s="31">
        <f t="shared" si="215"/>
        <v>4417.8919999999998</v>
      </c>
      <c r="F151" s="31">
        <f t="shared" si="215"/>
        <v>4868.473</v>
      </c>
      <c r="G151" s="31">
        <f t="shared" si="215"/>
        <v>5897.009</v>
      </c>
      <c r="H151" s="31">
        <f t="shared" si="215"/>
        <v>7503.0240000000003</v>
      </c>
      <c r="I151" s="31">
        <f t="shared" si="215"/>
        <v>7709.326</v>
      </c>
      <c r="J151" s="31">
        <f t="shared" si="215"/>
        <v>8535.2009999999991</v>
      </c>
      <c r="K151" s="32">
        <f t="shared" si="215"/>
        <v>9630.2070000000003</v>
      </c>
      <c r="L151" s="33">
        <f>+L129</f>
        <v>10800.7226691411</v>
      </c>
      <c r="M151" s="33">
        <f t="shared" ref="M151:U151" si="216">+M129</f>
        <v>12003.718058827419</v>
      </c>
      <c r="N151" s="33">
        <f t="shared" si="216"/>
        <v>13218.615758094162</v>
      </c>
      <c r="O151" s="33">
        <f t="shared" si="216"/>
        <v>14559.305275137927</v>
      </c>
      <c r="P151" s="33">
        <f t="shared" si="216"/>
        <v>16039.067965641627</v>
      </c>
      <c r="Q151" s="33">
        <f t="shared" si="216"/>
        <v>17694.998308208349</v>
      </c>
      <c r="R151" s="33">
        <f t="shared" si="216"/>
        <v>19223.037403328242</v>
      </c>
      <c r="S151" s="33">
        <f t="shared" si="216"/>
        <v>20754.587764915501</v>
      </c>
      <c r="T151" s="33">
        <f t="shared" si="216"/>
        <v>22264.772961763127</v>
      </c>
      <c r="U151" s="33">
        <f t="shared" si="216"/>
        <v>23886.114881703343</v>
      </c>
    </row>
    <row r="152" spans="2:21" outlineLevel="1" x14ac:dyDescent="0.25">
      <c r="C152" s="35" t="s">
        <v>1069</v>
      </c>
      <c r="D152" s="36">
        <f>D150/D151</f>
        <v>0</v>
      </c>
      <c r="E152" s="37">
        <f t="shared" ref="E152:K152" si="217">E150/E151</f>
        <v>0</v>
      </c>
      <c r="F152" s="37">
        <f t="shared" si="217"/>
        <v>0</v>
      </c>
      <c r="G152" s="37">
        <f t="shared" si="217"/>
        <v>0</v>
      </c>
      <c r="H152" s="37">
        <f t="shared" si="217"/>
        <v>0</v>
      </c>
      <c r="I152" s="37">
        <f t="shared" si="217"/>
        <v>0</v>
      </c>
      <c r="J152" s="37">
        <f t="shared" si="217"/>
        <v>0</v>
      </c>
      <c r="K152" s="38">
        <f t="shared" si="217"/>
        <v>0</v>
      </c>
      <c r="L152" s="39"/>
      <c r="M152" s="39"/>
      <c r="N152" s="39"/>
      <c r="O152" s="39"/>
      <c r="P152" s="39"/>
      <c r="Q152" s="39"/>
      <c r="R152" s="39"/>
      <c r="S152" s="39"/>
      <c r="T152" s="39"/>
      <c r="U152" s="39"/>
    </row>
    <row r="153" spans="2:21" outlineLevel="1" x14ac:dyDescent="0.25">
      <c r="C153" s="4"/>
      <c r="D153" s="55"/>
      <c r="E153" s="55"/>
      <c r="F153" s="55"/>
      <c r="G153" s="4"/>
      <c r="H153" s="4"/>
      <c r="I153" s="4"/>
      <c r="J153" s="4"/>
      <c r="K153" s="4"/>
      <c r="L153" s="4"/>
      <c r="M153" s="4"/>
      <c r="N153" s="4"/>
      <c r="O153" s="4"/>
      <c r="P153" s="4"/>
      <c r="Q153" s="4"/>
      <c r="R153" s="4"/>
    </row>
    <row r="154" spans="2:21" outlineLevel="1" x14ac:dyDescent="0.25">
      <c r="C154" s="40" t="s">
        <v>1071</v>
      </c>
      <c r="D154" s="848">
        <f>MIN(D152:K152)</f>
        <v>0</v>
      </c>
      <c r="E154" s="55"/>
      <c r="F154" s="55"/>
      <c r="G154" s="6"/>
      <c r="H154" s="6"/>
      <c r="I154" s="6"/>
      <c r="J154" s="6"/>
      <c r="K154" s="6"/>
      <c r="L154" s="6"/>
      <c r="M154" s="6"/>
      <c r="N154" s="6"/>
      <c r="O154" s="6"/>
      <c r="P154" s="6"/>
      <c r="Q154" s="6"/>
      <c r="R154" s="6"/>
    </row>
    <row r="155" spans="2:21" ht="15.75" outlineLevel="1" thickBot="1" x14ac:dyDescent="0.3">
      <c r="C155" s="40" t="s">
        <v>1072</v>
      </c>
      <c r="D155" s="848">
        <f>MAX(D152:K152)</f>
        <v>0</v>
      </c>
      <c r="E155" s="55"/>
      <c r="F155" s="55"/>
      <c r="G155" s="6"/>
      <c r="H155" s="6"/>
      <c r="I155" s="41">
        <f>LEFT(K149,4)+1</f>
        <v>2016</v>
      </c>
      <c r="J155" s="42">
        <f t="shared" ref="J155" si="218">I155+1</f>
        <v>2017</v>
      </c>
      <c r="K155" s="42">
        <f t="shared" ref="K155" si="219">J155+1</f>
        <v>2018</v>
      </c>
      <c r="L155" s="42">
        <f t="shared" ref="L155" si="220">K155+1</f>
        <v>2019</v>
      </c>
      <c r="M155" s="42">
        <f t="shared" ref="M155" si="221">L155+1</f>
        <v>2020</v>
      </c>
      <c r="N155" s="42">
        <f t="shared" ref="N155" si="222">M155+1</f>
        <v>2021</v>
      </c>
      <c r="O155" s="42">
        <f t="shared" ref="O155" si="223">N155+1</f>
        <v>2022</v>
      </c>
      <c r="P155" s="42">
        <f t="shared" ref="P155" si="224">O155+1</f>
        <v>2023</v>
      </c>
      <c r="Q155" s="42">
        <f t="shared" ref="Q155" si="225">P155+1</f>
        <v>2024</v>
      </c>
      <c r="R155" s="42">
        <f t="shared" ref="R155" si="226">Q155+1</f>
        <v>2025</v>
      </c>
      <c r="S155" s="43" t="s">
        <v>267</v>
      </c>
    </row>
    <row r="156" spans="2:21" outlineLevel="1" x14ac:dyDescent="0.25">
      <c r="C156" s="40" t="s">
        <v>1073</v>
      </c>
      <c r="D156" s="848">
        <f>AVERAGE(D152:K152)</f>
        <v>0</v>
      </c>
      <c r="E156" s="55"/>
      <c r="F156" s="55"/>
      <c r="G156" s="2107" t="s">
        <v>1006</v>
      </c>
      <c r="H156" s="44" t="s">
        <v>1069</v>
      </c>
      <c r="I156" s="45">
        <f>K152</f>
        <v>0</v>
      </c>
      <c r="J156" s="46">
        <f>I156</f>
        <v>0</v>
      </c>
      <c r="K156" s="46">
        <f>J156</f>
        <v>0</v>
      </c>
      <c r="L156" s="46">
        <f>K156</f>
        <v>0</v>
      </c>
      <c r="M156" s="46">
        <f>L156</f>
        <v>0</v>
      </c>
      <c r="N156" s="46">
        <f>M156-($M$30-$R$30)/5</f>
        <v>0</v>
      </c>
      <c r="O156" s="46">
        <f>N156-($M$30-$R$30)/5</f>
        <v>0</v>
      </c>
      <c r="P156" s="46">
        <f>O156-($M$30-$R$30)/5</f>
        <v>0</v>
      </c>
      <c r="Q156" s="46">
        <f>P156-($M$30-$R$30)/5</f>
        <v>0</v>
      </c>
      <c r="R156" s="46">
        <f>Q156-($M$30-$R$30)/5</f>
        <v>0</v>
      </c>
      <c r="S156" s="47"/>
    </row>
    <row r="157" spans="2:21" ht="15.75" outlineLevel="1" thickBot="1" x14ac:dyDescent="0.3">
      <c r="C157" s="40" t="s">
        <v>1074</v>
      </c>
      <c r="D157" s="848">
        <f>MEDIAN(D152:K152)</f>
        <v>0</v>
      </c>
      <c r="E157" s="55"/>
      <c r="F157" s="55"/>
      <c r="G157" s="2108"/>
      <c r="H157" s="48" t="s">
        <v>1069</v>
      </c>
      <c r="I157" s="49">
        <f t="shared" ref="I157" si="227">I156*L151</f>
        <v>0</v>
      </c>
      <c r="J157" s="50">
        <f t="shared" ref="J157" si="228">J156*M151</f>
        <v>0</v>
      </c>
      <c r="K157" s="50">
        <f t="shared" ref="K157" si="229">K156*N151</f>
        <v>0</v>
      </c>
      <c r="L157" s="50">
        <f t="shared" ref="L157" si="230">L156*O151</f>
        <v>0</v>
      </c>
      <c r="M157" s="50">
        <f t="shared" ref="M157" si="231">M156*P151</f>
        <v>0</v>
      </c>
      <c r="N157" s="50">
        <f t="shared" ref="N157" si="232">N156*Q151</f>
        <v>0</v>
      </c>
      <c r="O157" s="50">
        <f t="shared" ref="O157" si="233">O156*R151</f>
        <v>0</v>
      </c>
      <c r="P157" s="50">
        <f t="shared" ref="P157" si="234">P156*S151</f>
        <v>0</v>
      </c>
      <c r="Q157" s="50">
        <f t="shared" ref="Q157" si="235">Q156*T151</f>
        <v>0</v>
      </c>
      <c r="R157" s="50">
        <f t="shared" ref="R157" si="236">R156*U151</f>
        <v>0</v>
      </c>
      <c r="S157" s="51"/>
    </row>
    <row r="158" spans="2:21" outlineLevel="1" x14ac:dyDescent="0.25">
      <c r="C158" s="40" t="s">
        <v>1075</v>
      </c>
      <c r="D158" s="848">
        <f>SUMPRODUCT(D152:K152,D148:K148)/SUM(D148:K148)</f>
        <v>0</v>
      </c>
      <c r="E158" s="55"/>
      <c r="F158" s="55"/>
      <c r="G158" s="6"/>
      <c r="H158" s="6"/>
      <c r="I158" s="6"/>
      <c r="J158" s="6"/>
      <c r="K158" s="6"/>
      <c r="L158" s="6"/>
      <c r="M158" s="6"/>
      <c r="N158" s="6"/>
      <c r="O158" s="6"/>
      <c r="P158" s="6"/>
      <c r="Q158" s="6"/>
      <c r="R158" s="6"/>
    </row>
    <row r="159" spans="2:21" ht="13.15" customHeight="1" outlineLevel="1" x14ac:dyDescent="0.25">
      <c r="C159" s="4"/>
      <c r="D159" s="847"/>
      <c r="E159" s="847"/>
      <c r="F159" s="847"/>
      <c r="G159" s="12"/>
      <c r="H159" s="12"/>
      <c r="I159" s="12"/>
      <c r="J159" s="12"/>
      <c r="K159" s="12"/>
      <c r="L159" s="4"/>
      <c r="M159" s="4"/>
      <c r="N159" s="4"/>
      <c r="O159" s="4"/>
      <c r="P159" s="4"/>
      <c r="Q159" s="4"/>
      <c r="R159" s="4"/>
    </row>
    <row r="160" spans="2:21" ht="13.15" customHeight="1" outlineLevel="1" x14ac:dyDescent="0.25">
      <c r="C160" s="4"/>
      <c r="D160" s="847">
        <v>1</v>
      </c>
      <c r="E160" s="847">
        <f t="shared" ref="E160" si="237">D160+1</f>
        <v>2</v>
      </c>
      <c r="F160" s="847">
        <f t="shared" ref="F160" si="238">E160+1</f>
        <v>3</v>
      </c>
      <c r="G160" s="12">
        <f t="shared" ref="G160" si="239">F160+1</f>
        <v>4</v>
      </c>
      <c r="H160" s="12">
        <f t="shared" ref="H160" si="240">G160+1</f>
        <v>5</v>
      </c>
      <c r="I160" s="12">
        <f t="shared" ref="I160" si="241">H160+1</f>
        <v>6</v>
      </c>
      <c r="J160" s="12">
        <f t="shared" ref="J160" si="242">I160+1</f>
        <v>7</v>
      </c>
      <c r="K160" s="12">
        <f t="shared" ref="K160" si="243">J160+1</f>
        <v>8</v>
      </c>
      <c r="L160" s="4"/>
      <c r="M160" s="4"/>
      <c r="N160" s="4"/>
      <c r="O160" s="4"/>
      <c r="P160" s="4"/>
      <c r="Q160" s="4"/>
      <c r="R160" s="4"/>
    </row>
    <row r="161" spans="2:21" ht="15.75" outlineLevel="1" thickBot="1" x14ac:dyDescent="0.3">
      <c r="B161" s="53" t="s">
        <v>825</v>
      </c>
      <c r="C161" s="52" t="s">
        <v>11</v>
      </c>
      <c r="D161" s="15" t="str">
        <f t="shared" ref="D161:J161" si="244">+D138</f>
        <v>2008/12</v>
      </c>
      <c r="E161" s="16" t="str">
        <f t="shared" si="244"/>
        <v>2009/12</v>
      </c>
      <c r="F161" s="16" t="str">
        <f t="shared" si="244"/>
        <v>2010/12</v>
      </c>
      <c r="G161" s="16" t="str">
        <f t="shared" si="244"/>
        <v>2011/12</v>
      </c>
      <c r="H161" s="16" t="str">
        <f t="shared" si="244"/>
        <v>2012/12</v>
      </c>
      <c r="I161" s="16" t="str">
        <f t="shared" si="244"/>
        <v>2013/12</v>
      </c>
      <c r="J161" s="16" t="str">
        <f t="shared" si="244"/>
        <v>2014/12</v>
      </c>
      <c r="K161" s="18" t="str">
        <f>+K138</f>
        <v>2015/12</v>
      </c>
      <c r="L161" s="19">
        <f>LEFT(K161,4)+1</f>
        <v>2016</v>
      </c>
      <c r="M161" s="20">
        <f t="shared" ref="M161" si="245">L161+1</f>
        <v>2017</v>
      </c>
      <c r="N161" s="20">
        <f t="shared" ref="N161" si="246">M161+1</f>
        <v>2018</v>
      </c>
      <c r="O161" s="20">
        <f t="shared" ref="O161" si="247">N161+1</f>
        <v>2019</v>
      </c>
      <c r="P161" s="20">
        <f t="shared" ref="P161" si="248">O161+1</f>
        <v>2020</v>
      </c>
      <c r="Q161" s="20">
        <f t="shared" ref="Q161" si="249">P161+1</f>
        <v>2021</v>
      </c>
      <c r="R161" s="20">
        <f t="shared" ref="R161" si="250">Q161+1</f>
        <v>2022</v>
      </c>
      <c r="S161" s="20">
        <f t="shared" ref="S161" si="251">R161+1</f>
        <v>2023</v>
      </c>
      <c r="T161" s="20">
        <f t="shared" ref="T161" si="252">S161+1</f>
        <v>2024</v>
      </c>
      <c r="U161" s="21">
        <f t="shared" ref="U161" si="253">T161+1</f>
        <v>2025</v>
      </c>
    </row>
    <row r="162" spans="2:21" outlineLevel="1" x14ac:dyDescent="0.25">
      <c r="C162" s="22" t="s">
        <v>11</v>
      </c>
      <c r="D162" s="23">
        <f>+OMali!C20</f>
        <v>705.327</v>
      </c>
      <c r="E162" s="24">
        <f>+OMali!D20</f>
        <v>762.40200000000004</v>
      </c>
      <c r="F162" s="24">
        <f>+OMali!E20</f>
        <v>968.96199999999999</v>
      </c>
      <c r="G162" s="24">
        <f>+OMali!F20</f>
        <v>1249.5309999999999</v>
      </c>
      <c r="H162" s="24">
        <f>+OMali!G20</f>
        <v>1175.8040000000001</v>
      </c>
      <c r="I162" s="24">
        <f>+OMali!H20</f>
        <v>1644.9</v>
      </c>
      <c r="J162" s="24">
        <f>+OMali!I20</f>
        <v>1781.442</v>
      </c>
      <c r="K162" s="25">
        <f>+OMali!J20</f>
        <v>2090.3939999999998</v>
      </c>
      <c r="L162" s="26">
        <f>Sales!E305</f>
        <v>0</v>
      </c>
      <c r="M162" s="27">
        <f>Sales!F305</f>
        <v>0</v>
      </c>
      <c r="N162" s="28">
        <f>Sales!G305</f>
        <v>0</v>
      </c>
      <c r="O162" s="28">
        <f>Sales!H305</f>
        <v>0</v>
      </c>
      <c r="P162" s="28">
        <f>Sales!I305</f>
        <v>0</v>
      </c>
      <c r="Q162" s="28">
        <f>Sales!J305</f>
        <v>0</v>
      </c>
      <c r="R162" s="28">
        <f>Sales!K305</f>
        <v>0</v>
      </c>
      <c r="S162" s="28">
        <f>Sales!L305</f>
        <v>0</v>
      </c>
      <c r="T162" s="28">
        <f>Sales!M305</f>
        <v>0</v>
      </c>
      <c r="U162" s="28">
        <f>Sales!N305</f>
        <v>0</v>
      </c>
    </row>
    <row r="163" spans="2:21" outlineLevel="1" x14ac:dyDescent="0.25">
      <c r="C163" s="29" t="s">
        <v>296</v>
      </c>
      <c r="D163" s="30">
        <f>+D140</f>
        <v>4905.2920000000004</v>
      </c>
      <c r="E163" s="31">
        <f t="shared" ref="E163:K163" si="254">+E140</f>
        <v>4417.8919999999998</v>
      </c>
      <c r="F163" s="31">
        <f t="shared" si="254"/>
        <v>4868.473</v>
      </c>
      <c r="G163" s="31">
        <f t="shared" si="254"/>
        <v>5897.009</v>
      </c>
      <c r="H163" s="31">
        <f t="shared" si="254"/>
        <v>7503.0240000000003</v>
      </c>
      <c r="I163" s="31">
        <f t="shared" si="254"/>
        <v>7709.326</v>
      </c>
      <c r="J163" s="31">
        <f t="shared" si="254"/>
        <v>8535.2009999999991</v>
      </c>
      <c r="K163" s="32">
        <f t="shared" si="254"/>
        <v>9630.2070000000003</v>
      </c>
      <c r="L163" s="33">
        <f>+L151</f>
        <v>10800.7226691411</v>
      </c>
      <c r="M163" s="33">
        <f t="shared" ref="M163:U163" si="255">+M151</f>
        <v>12003.718058827419</v>
      </c>
      <c r="N163" s="33">
        <f t="shared" si="255"/>
        <v>13218.615758094162</v>
      </c>
      <c r="O163" s="33">
        <f t="shared" si="255"/>
        <v>14559.305275137927</v>
      </c>
      <c r="P163" s="33">
        <f t="shared" si="255"/>
        <v>16039.067965641627</v>
      </c>
      <c r="Q163" s="33">
        <f t="shared" si="255"/>
        <v>17694.998308208349</v>
      </c>
      <c r="R163" s="33">
        <f t="shared" si="255"/>
        <v>19223.037403328242</v>
      </c>
      <c r="S163" s="33">
        <f t="shared" si="255"/>
        <v>20754.587764915501</v>
      </c>
      <c r="T163" s="33">
        <f t="shared" si="255"/>
        <v>22264.772961763127</v>
      </c>
      <c r="U163" s="33">
        <f t="shared" si="255"/>
        <v>23886.114881703343</v>
      </c>
    </row>
    <row r="164" spans="2:21" outlineLevel="1" x14ac:dyDescent="0.25">
      <c r="C164" s="35" t="s">
        <v>1076</v>
      </c>
      <c r="D164" s="36">
        <f>D162/D163</f>
        <v>0.1437889936011964</v>
      </c>
      <c r="E164" s="37">
        <f t="shared" ref="E164:K164" si="256">E162/E163</f>
        <v>0.17257144357535226</v>
      </c>
      <c r="F164" s="37">
        <f t="shared" si="256"/>
        <v>0.19902790875085474</v>
      </c>
      <c r="G164" s="37">
        <f t="shared" si="256"/>
        <v>0.21189233389333473</v>
      </c>
      <c r="H164" s="37">
        <f t="shared" si="256"/>
        <v>0.15671068092011967</v>
      </c>
      <c r="I164" s="37">
        <f t="shared" si="256"/>
        <v>0.21336495563944241</v>
      </c>
      <c r="J164" s="37">
        <f t="shared" si="256"/>
        <v>0.20871705306061336</v>
      </c>
      <c r="K164" s="38">
        <f t="shared" si="256"/>
        <v>0.21706636212492625</v>
      </c>
      <c r="L164" s="39"/>
      <c r="M164" s="39"/>
      <c r="N164" s="39"/>
      <c r="O164" s="39"/>
      <c r="P164" s="39"/>
      <c r="Q164" s="39"/>
      <c r="R164" s="39"/>
      <c r="S164" s="39"/>
      <c r="T164" s="39"/>
      <c r="U164" s="39"/>
    </row>
    <row r="165" spans="2:21" outlineLevel="1" x14ac:dyDescent="0.25">
      <c r="C165" s="4"/>
      <c r="D165" s="55"/>
      <c r="E165" s="55"/>
      <c r="F165" s="55"/>
      <c r="G165" s="4"/>
      <c r="H165" s="4"/>
      <c r="I165" s="4"/>
      <c r="J165" s="4"/>
      <c r="K165" s="4"/>
      <c r="L165" s="4"/>
      <c r="M165" s="4"/>
      <c r="N165" s="4"/>
      <c r="O165" s="4"/>
      <c r="P165" s="4"/>
      <c r="Q165" s="4"/>
      <c r="R165" s="4"/>
    </row>
    <row r="166" spans="2:21" outlineLevel="1" x14ac:dyDescent="0.25">
      <c r="C166" s="40" t="s">
        <v>1077</v>
      </c>
      <c r="D166" s="848">
        <f>MIN(D164:K164)</f>
        <v>0.1437889936011964</v>
      </c>
      <c r="E166" s="55"/>
      <c r="F166" s="55"/>
      <c r="G166" s="6"/>
      <c r="H166" s="6"/>
      <c r="I166" s="6"/>
      <c r="J166" s="6"/>
      <c r="K166" s="6"/>
      <c r="L166" s="6"/>
      <c r="M166" s="6"/>
      <c r="N166" s="6"/>
      <c r="O166" s="6"/>
      <c r="P166" s="6"/>
      <c r="Q166" s="6"/>
      <c r="R166" s="6"/>
    </row>
    <row r="167" spans="2:21" ht="15.75" outlineLevel="1" thickBot="1" x14ac:dyDescent="0.3">
      <c r="C167" s="40" t="s">
        <v>1038</v>
      </c>
      <c r="D167" s="848">
        <f>MAX(D164:K164)</f>
        <v>0.21706636212492625</v>
      </c>
      <c r="E167" s="55"/>
      <c r="F167" s="55"/>
      <c r="G167" s="6"/>
      <c r="H167" s="6"/>
      <c r="I167" s="41">
        <f>LEFT(K161,4)+1</f>
        <v>2016</v>
      </c>
      <c r="J167" s="42">
        <f t="shared" ref="J167" si="257">I167+1</f>
        <v>2017</v>
      </c>
      <c r="K167" s="42">
        <f t="shared" ref="K167" si="258">J167+1</f>
        <v>2018</v>
      </c>
      <c r="L167" s="42">
        <f t="shared" ref="L167" si="259">K167+1</f>
        <v>2019</v>
      </c>
      <c r="M167" s="42">
        <f t="shared" ref="M167" si="260">L167+1</f>
        <v>2020</v>
      </c>
      <c r="N167" s="42">
        <f t="shared" ref="N167" si="261">M167+1</f>
        <v>2021</v>
      </c>
      <c r="O167" s="42">
        <f t="shared" ref="O167" si="262">N167+1</f>
        <v>2022</v>
      </c>
      <c r="P167" s="42">
        <f t="shared" ref="P167" si="263">O167+1</f>
        <v>2023</v>
      </c>
      <c r="Q167" s="42">
        <f t="shared" ref="Q167" si="264">P167+1</f>
        <v>2024</v>
      </c>
      <c r="R167" s="42">
        <f t="shared" ref="R167" si="265">Q167+1</f>
        <v>2025</v>
      </c>
      <c r="S167" s="43" t="s">
        <v>267</v>
      </c>
    </row>
    <row r="168" spans="2:21" outlineLevel="1" x14ac:dyDescent="0.25">
      <c r="C168" s="40" t="s">
        <v>1039</v>
      </c>
      <c r="D168" s="848">
        <f>AVERAGE(D164:K164)</f>
        <v>0.19039246644572996</v>
      </c>
      <c r="E168" s="55"/>
      <c r="F168" s="55"/>
      <c r="G168" s="2107" t="s">
        <v>1006</v>
      </c>
      <c r="H168" s="44" t="s">
        <v>1036</v>
      </c>
      <c r="I168" s="45">
        <f>K164</f>
        <v>0.21706636212492625</v>
      </c>
      <c r="J168" s="46">
        <f>I168</f>
        <v>0.21706636212492625</v>
      </c>
      <c r="K168" s="46">
        <f>J168</f>
        <v>0.21706636212492625</v>
      </c>
      <c r="L168" s="46">
        <f>K168</f>
        <v>0.21706636212492625</v>
      </c>
      <c r="M168" s="46">
        <f>L168</f>
        <v>0.21706636212492625</v>
      </c>
      <c r="N168" s="46">
        <f>M168-($M$30-$R$30)/5</f>
        <v>0.21706636212492625</v>
      </c>
      <c r="O168" s="46">
        <f>N168-($M$30-$R$30)/5</f>
        <v>0.21706636212492625</v>
      </c>
      <c r="P168" s="46">
        <f>O168-($M$30-$R$30)/5</f>
        <v>0.21706636212492625</v>
      </c>
      <c r="Q168" s="46">
        <f>P168-($M$30-$R$30)/5</f>
        <v>0.21706636212492625</v>
      </c>
      <c r="R168" s="46">
        <f>Q168-($M$30-$R$30)/5</f>
        <v>0.21706636212492625</v>
      </c>
      <c r="S168" s="47"/>
    </row>
    <row r="169" spans="2:21" ht="15.75" outlineLevel="1" thickBot="1" x14ac:dyDescent="0.3">
      <c r="C169" s="40" t="s">
        <v>1040</v>
      </c>
      <c r="D169" s="848">
        <f>MEDIAN(D164:K164)</f>
        <v>0.20387248090573407</v>
      </c>
      <c r="E169" s="55"/>
      <c r="F169" s="55"/>
      <c r="G169" s="2108"/>
      <c r="H169" s="48" t="s">
        <v>1036</v>
      </c>
      <c r="I169" s="49">
        <f t="shared" ref="I169" si="266">I168*L163</f>
        <v>2344.473578110682</v>
      </c>
      <c r="J169" s="50">
        <f t="shared" ref="J169" si="267">J168*M163</f>
        <v>2605.6034110029491</v>
      </c>
      <c r="K169" s="50">
        <f t="shared" ref="K169" si="268">K168*N163</f>
        <v>2869.3168349367238</v>
      </c>
      <c r="L169" s="50">
        <f t="shared" ref="L169" si="269">L168*O163</f>
        <v>3160.3354311404382</v>
      </c>
      <c r="M169" s="50">
        <f t="shared" ref="M169" si="270">M168*P163</f>
        <v>3481.5421351762693</v>
      </c>
      <c r="N169" s="50">
        <f t="shared" ref="N169" si="271">N168*Q163</f>
        <v>3840.9889105695106</v>
      </c>
      <c r="O169" s="50">
        <f t="shared" ref="O169" si="272">O168*R163</f>
        <v>4172.6747981318504</v>
      </c>
      <c r="P169" s="50">
        <f t="shared" ref="P169" si="273">P168*S163</f>
        <v>4505.1228635327116</v>
      </c>
      <c r="Q169" s="50">
        <f t="shared" ref="Q169" si="274">Q168*T163</f>
        <v>4832.9332703473419</v>
      </c>
      <c r="R169" s="50">
        <f t="shared" ref="R169" si="275">R168*U163</f>
        <v>5184.8720626694076</v>
      </c>
      <c r="S169" s="51"/>
    </row>
    <row r="170" spans="2:21" outlineLevel="1" x14ac:dyDescent="0.25">
      <c r="C170" s="40" t="s">
        <v>1041</v>
      </c>
      <c r="D170" s="848">
        <f>SUMPRODUCT(D164:K164,D160:K160)/SUM(D160:K160)</f>
        <v>0.19985773192885448</v>
      </c>
      <c r="E170" s="55"/>
      <c r="F170" s="55"/>
      <c r="G170" s="6"/>
      <c r="H170" s="6"/>
      <c r="I170" s="6"/>
      <c r="J170" s="6"/>
      <c r="K170" s="6"/>
      <c r="L170" s="6"/>
      <c r="M170" s="6"/>
      <c r="N170" s="6"/>
      <c r="O170" s="6"/>
      <c r="P170" s="6"/>
      <c r="Q170" s="6"/>
      <c r="R170" s="6"/>
    </row>
    <row r="171" spans="2:21" ht="13.15" customHeight="1" outlineLevel="1" x14ac:dyDescent="0.25">
      <c r="C171" s="4"/>
      <c r="D171" s="847">
        <v>1</v>
      </c>
      <c r="E171" s="847">
        <f t="shared" ref="E171" si="276">D171+1</f>
        <v>2</v>
      </c>
      <c r="F171" s="847">
        <f t="shared" ref="F171" si="277">E171+1</f>
        <v>3</v>
      </c>
      <c r="G171" s="12">
        <f t="shared" ref="G171" si="278">F171+1</f>
        <v>4</v>
      </c>
      <c r="H171" s="12">
        <f t="shared" ref="H171" si="279">G171+1</f>
        <v>5</v>
      </c>
      <c r="I171" s="12">
        <f t="shared" ref="I171" si="280">H171+1</f>
        <v>6</v>
      </c>
      <c r="J171" s="12">
        <f t="shared" ref="J171" si="281">I171+1</f>
        <v>7</v>
      </c>
      <c r="K171" s="12">
        <f t="shared" ref="K171" si="282">J171+1</f>
        <v>8</v>
      </c>
      <c r="L171" s="4"/>
      <c r="M171" s="4"/>
      <c r="N171" s="4"/>
      <c r="O171" s="4"/>
      <c r="P171" s="4"/>
      <c r="Q171" s="4"/>
      <c r="R171" s="4"/>
    </row>
    <row r="172" spans="2:21" ht="15.75" outlineLevel="1" thickBot="1" x14ac:dyDescent="0.3">
      <c r="B172" s="53" t="s">
        <v>825</v>
      </c>
      <c r="C172" s="52" t="s">
        <v>102</v>
      </c>
      <c r="D172" s="15" t="str">
        <f t="shared" ref="D172:J172" si="283">+D161</f>
        <v>2008/12</v>
      </c>
      <c r="E172" s="16" t="str">
        <f t="shared" si="283"/>
        <v>2009/12</v>
      </c>
      <c r="F172" s="16" t="str">
        <f t="shared" si="283"/>
        <v>2010/12</v>
      </c>
      <c r="G172" s="16" t="str">
        <f t="shared" si="283"/>
        <v>2011/12</v>
      </c>
      <c r="H172" s="16" t="str">
        <f t="shared" si="283"/>
        <v>2012/12</v>
      </c>
      <c r="I172" s="16" t="str">
        <f t="shared" si="283"/>
        <v>2013/12</v>
      </c>
      <c r="J172" s="16" t="str">
        <f t="shared" si="283"/>
        <v>2014/12</v>
      </c>
      <c r="K172" s="18" t="str">
        <f>+K161</f>
        <v>2015/12</v>
      </c>
      <c r="L172" s="19">
        <f>LEFT(K172,4)+1</f>
        <v>2016</v>
      </c>
      <c r="M172" s="20">
        <f t="shared" ref="M172" si="284">L172+1</f>
        <v>2017</v>
      </c>
      <c r="N172" s="20">
        <f t="shared" ref="N172" si="285">M172+1</f>
        <v>2018</v>
      </c>
      <c r="O172" s="20">
        <f t="shared" ref="O172" si="286">N172+1</f>
        <v>2019</v>
      </c>
      <c r="P172" s="20">
        <f t="shared" ref="P172" si="287">O172+1</f>
        <v>2020</v>
      </c>
      <c r="Q172" s="20">
        <f t="shared" ref="Q172" si="288">P172+1</f>
        <v>2021</v>
      </c>
      <c r="R172" s="20">
        <f t="shared" ref="R172" si="289">Q172+1</f>
        <v>2022</v>
      </c>
      <c r="S172" s="20">
        <f t="shared" ref="S172" si="290">R172+1</f>
        <v>2023</v>
      </c>
      <c r="T172" s="20">
        <f t="shared" ref="T172" si="291">S172+1</f>
        <v>2024</v>
      </c>
      <c r="U172" s="21">
        <f t="shared" ref="U172" si="292">T172+1</f>
        <v>2025</v>
      </c>
    </row>
    <row r="173" spans="2:21" outlineLevel="1" x14ac:dyDescent="0.25">
      <c r="C173" s="22" t="s">
        <v>102</v>
      </c>
      <c r="D173" s="23">
        <f>+OMali!C21</f>
        <v>435.69100000000026</v>
      </c>
      <c r="E173" s="24">
        <f>+OMali!D21</f>
        <v>492.83599999999979</v>
      </c>
      <c r="F173" s="24">
        <f>+OMali!E21</f>
        <v>533.56800000000021</v>
      </c>
      <c r="G173" s="24">
        <f>+OMali!F21</f>
        <v>651.95100000000002</v>
      </c>
      <c r="H173" s="24">
        <f>+OMali!G21</f>
        <v>625.8720000000003</v>
      </c>
      <c r="I173" s="24">
        <f>+OMali!H21</f>
        <v>758.36700000000019</v>
      </c>
      <c r="J173" s="24">
        <f>+OMali!I21</f>
        <v>842.92699999999968</v>
      </c>
      <c r="K173" s="25">
        <f>+OMali!J21</f>
        <v>957.89800000000014</v>
      </c>
      <c r="L173" s="26">
        <f>Sales!E316</f>
        <v>0</v>
      </c>
      <c r="M173" s="27">
        <f>Sales!F316</f>
        <v>0</v>
      </c>
      <c r="N173" s="28">
        <f>Sales!G316</f>
        <v>0</v>
      </c>
      <c r="O173" s="28">
        <f>Sales!H316</f>
        <v>0</v>
      </c>
      <c r="P173" s="28">
        <f>Sales!I316</f>
        <v>0</v>
      </c>
      <c r="Q173" s="28">
        <f>Sales!J316</f>
        <v>0</v>
      </c>
      <c r="R173" s="28">
        <f>Sales!K316</f>
        <v>0</v>
      </c>
      <c r="S173" s="28">
        <f>Sales!L316</f>
        <v>0</v>
      </c>
      <c r="T173" s="28">
        <f>Sales!M316</f>
        <v>0</v>
      </c>
      <c r="U173" s="28">
        <f>Sales!N316</f>
        <v>0</v>
      </c>
    </row>
    <row r="174" spans="2:21" outlineLevel="1" x14ac:dyDescent="0.25">
      <c r="C174" s="29" t="s">
        <v>296</v>
      </c>
      <c r="D174" s="30">
        <f>+D163</f>
        <v>4905.2920000000004</v>
      </c>
      <c r="E174" s="31">
        <f t="shared" ref="E174:K174" si="293">+E163</f>
        <v>4417.8919999999998</v>
      </c>
      <c r="F174" s="31">
        <f t="shared" si="293"/>
        <v>4868.473</v>
      </c>
      <c r="G174" s="31">
        <f t="shared" si="293"/>
        <v>5897.009</v>
      </c>
      <c r="H174" s="31">
        <f t="shared" si="293"/>
        <v>7503.0240000000003</v>
      </c>
      <c r="I174" s="31">
        <f t="shared" si="293"/>
        <v>7709.326</v>
      </c>
      <c r="J174" s="31">
        <f t="shared" si="293"/>
        <v>8535.2009999999991</v>
      </c>
      <c r="K174" s="32">
        <f t="shared" si="293"/>
        <v>9630.2070000000003</v>
      </c>
      <c r="L174" s="33">
        <f>+L163</f>
        <v>10800.7226691411</v>
      </c>
      <c r="M174" s="33">
        <f t="shared" ref="M174:U174" si="294">+M163</f>
        <v>12003.718058827419</v>
      </c>
      <c r="N174" s="33">
        <f t="shared" si="294"/>
        <v>13218.615758094162</v>
      </c>
      <c r="O174" s="33">
        <f t="shared" si="294"/>
        <v>14559.305275137927</v>
      </c>
      <c r="P174" s="33">
        <f t="shared" si="294"/>
        <v>16039.067965641627</v>
      </c>
      <c r="Q174" s="33">
        <f t="shared" si="294"/>
        <v>17694.998308208349</v>
      </c>
      <c r="R174" s="33">
        <f t="shared" si="294"/>
        <v>19223.037403328242</v>
      </c>
      <c r="S174" s="33">
        <f t="shared" si="294"/>
        <v>20754.587764915501</v>
      </c>
      <c r="T174" s="33">
        <f t="shared" si="294"/>
        <v>22264.772961763127</v>
      </c>
      <c r="U174" s="33">
        <f t="shared" si="294"/>
        <v>23886.114881703343</v>
      </c>
    </row>
    <row r="175" spans="2:21" outlineLevel="1" x14ac:dyDescent="0.25">
      <c r="C175" s="35" t="s">
        <v>1042</v>
      </c>
      <c r="D175" s="36">
        <f>D173/D174</f>
        <v>8.8820604359536648E-2</v>
      </c>
      <c r="E175" s="37">
        <f t="shared" ref="E175:K175" si="295">E173/E174</f>
        <v>0.11155456041025896</v>
      </c>
      <c r="F175" s="37">
        <f t="shared" si="295"/>
        <v>0.10959658192620154</v>
      </c>
      <c r="G175" s="37">
        <f t="shared" si="295"/>
        <v>0.11055621587146976</v>
      </c>
      <c r="H175" s="37">
        <f t="shared" si="295"/>
        <v>8.3415966682233764E-2</v>
      </c>
      <c r="I175" s="37">
        <f t="shared" si="295"/>
        <v>9.8370078006819295E-2</v>
      </c>
      <c r="J175" s="37">
        <f t="shared" si="295"/>
        <v>9.8758892731407241E-2</v>
      </c>
      <c r="K175" s="38">
        <f t="shared" si="295"/>
        <v>9.946805920163504E-2</v>
      </c>
      <c r="L175" s="39"/>
      <c r="M175" s="39"/>
      <c r="N175" s="39"/>
      <c r="O175" s="39"/>
      <c r="P175" s="39"/>
      <c r="Q175" s="39"/>
      <c r="R175" s="39"/>
      <c r="S175" s="39"/>
      <c r="T175" s="39"/>
      <c r="U175" s="39"/>
    </row>
    <row r="176" spans="2:21" outlineLevel="1" x14ac:dyDescent="0.25">
      <c r="C176" s="4"/>
      <c r="D176" s="55"/>
      <c r="E176" s="55"/>
      <c r="F176" s="55"/>
      <c r="G176" s="4"/>
      <c r="H176" s="4"/>
      <c r="I176" s="4"/>
      <c r="J176" s="4"/>
      <c r="K176" s="4"/>
      <c r="L176" s="4"/>
      <c r="M176" s="4"/>
      <c r="N176" s="4"/>
      <c r="O176" s="4"/>
      <c r="P176" s="4"/>
      <c r="Q176" s="4"/>
      <c r="R176" s="4"/>
    </row>
    <row r="177" spans="2:21" outlineLevel="1" x14ac:dyDescent="0.25">
      <c r="C177" s="40" t="s">
        <v>1043</v>
      </c>
      <c r="D177" s="848">
        <f>MIN(D175:K175)</f>
        <v>8.3415966682233764E-2</v>
      </c>
      <c r="E177" s="55"/>
      <c r="F177" s="55"/>
      <c r="G177" s="6"/>
      <c r="H177" s="6"/>
      <c r="I177" s="6"/>
      <c r="J177" s="6"/>
      <c r="K177" s="6"/>
      <c r="L177" s="6"/>
      <c r="M177" s="6"/>
      <c r="N177" s="6"/>
      <c r="O177" s="6"/>
      <c r="P177" s="6"/>
      <c r="Q177" s="6"/>
      <c r="R177" s="6"/>
    </row>
    <row r="178" spans="2:21" ht="15.75" outlineLevel="1" thickBot="1" x14ac:dyDescent="0.3">
      <c r="C178" s="40" t="s">
        <v>1044</v>
      </c>
      <c r="D178" s="848">
        <f>MAX(D175:K175)</f>
        <v>0.11155456041025896</v>
      </c>
      <c r="E178" s="55"/>
      <c r="F178" s="55"/>
      <c r="G178" s="6"/>
      <c r="H178" s="6"/>
      <c r="I178" s="41">
        <f>LEFT(K172,4)+1</f>
        <v>2016</v>
      </c>
      <c r="J178" s="42">
        <f t="shared" ref="J178" si="296">I178+1</f>
        <v>2017</v>
      </c>
      <c r="K178" s="42">
        <f t="shared" ref="K178" si="297">J178+1</f>
        <v>2018</v>
      </c>
      <c r="L178" s="42">
        <f t="shared" ref="L178" si="298">K178+1</f>
        <v>2019</v>
      </c>
      <c r="M178" s="42">
        <f t="shared" ref="M178" si="299">L178+1</f>
        <v>2020</v>
      </c>
      <c r="N178" s="42">
        <f t="shared" ref="N178" si="300">M178+1</f>
        <v>2021</v>
      </c>
      <c r="O178" s="42">
        <f t="shared" ref="O178" si="301">N178+1</f>
        <v>2022</v>
      </c>
      <c r="P178" s="42">
        <f t="shared" ref="P178" si="302">O178+1</f>
        <v>2023</v>
      </c>
      <c r="Q178" s="42">
        <f t="shared" ref="Q178" si="303">P178+1</f>
        <v>2024</v>
      </c>
      <c r="R178" s="42">
        <f t="shared" ref="R178" si="304">Q178+1</f>
        <v>2025</v>
      </c>
      <c r="S178" s="43" t="s">
        <v>267</v>
      </c>
    </row>
    <row r="179" spans="2:21" outlineLevel="1" x14ac:dyDescent="0.25">
      <c r="C179" s="40" t="s">
        <v>1045</v>
      </c>
      <c r="D179" s="848">
        <f>AVERAGE(D175:K175)</f>
        <v>0.10006761989869528</v>
      </c>
      <c r="E179" s="55"/>
      <c r="F179" s="55"/>
      <c r="G179" s="2107" t="s">
        <v>1006</v>
      </c>
      <c r="H179" s="44" t="s">
        <v>1042</v>
      </c>
      <c r="I179" s="45">
        <f>K175</f>
        <v>9.946805920163504E-2</v>
      </c>
      <c r="J179" s="46">
        <f>I179</f>
        <v>9.946805920163504E-2</v>
      </c>
      <c r="K179" s="46">
        <f>J179</f>
        <v>9.946805920163504E-2</v>
      </c>
      <c r="L179" s="46">
        <f>K179</f>
        <v>9.946805920163504E-2</v>
      </c>
      <c r="M179" s="46">
        <f>L179</f>
        <v>9.946805920163504E-2</v>
      </c>
      <c r="N179" s="46">
        <f>M179-($M$30-$R$30)/5</f>
        <v>9.946805920163504E-2</v>
      </c>
      <c r="O179" s="46">
        <f>N179-($M$30-$R$30)/5</f>
        <v>9.946805920163504E-2</v>
      </c>
      <c r="P179" s="46">
        <f>O179-($M$30-$R$30)/5</f>
        <v>9.946805920163504E-2</v>
      </c>
      <c r="Q179" s="46">
        <f>P179-($M$30-$R$30)/5</f>
        <v>9.946805920163504E-2</v>
      </c>
      <c r="R179" s="46">
        <f>Q179-($M$30-$R$30)/5</f>
        <v>9.946805920163504E-2</v>
      </c>
      <c r="S179" s="47"/>
    </row>
    <row r="180" spans="2:21" ht="15.75" outlineLevel="1" thickBot="1" x14ac:dyDescent="0.3">
      <c r="C180" s="40" t="s">
        <v>1046</v>
      </c>
      <c r="D180" s="848">
        <f>MEDIAN(D175:K175)</f>
        <v>9.9113475966521147E-2</v>
      </c>
      <c r="E180" s="55"/>
      <c r="F180" s="55"/>
      <c r="G180" s="2108"/>
      <c r="H180" s="48" t="s">
        <v>1042</v>
      </c>
      <c r="I180" s="49">
        <f t="shared" ref="I180" si="305">I179*L174</f>
        <v>1074.3269218745686</v>
      </c>
      <c r="J180" s="50">
        <f t="shared" ref="J180" si="306">J179*M174</f>
        <v>1193.9865385151813</v>
      </c>
      <c r="K180" s="50">
        <f t="shared" ref="K180" si="307">K179*N174</f>
        <v>1314.8300547897759</v>
      </c>
      <c r="L180" s="50">
        <f t="shared" ref="L180" si="308">L179*O174</f>
        <v>1448.1858390420966</v>
      </c>
      <c r="M180" s="50">
        <f t="shared" ref="M180" si="309">M179*P174</f>
        <v>1595.3749619454895</v>
      </c>
      <c r="N180" s="50">
        <f t="shared" ref="N180" si="310">N179*Q174</f>
        <v>1760.0871392936999</v>
      </c>
      <c r="O180" s="50">
        <f t="shared" ref="O180" si="311">O179*R174</f>
        <v>1912.0782224694983</v>
      </c>
      <c r="P180" s="50">
        <f t="shared" ref="P180" si="312">P179*S174</f>
        <v>2064.4185645061452</v>
      </c>
      <c r="Q180" s="50">
        <f t="shared" ref="Q180" si="313">Q179*T174</f>
        <v>2214.633755071618</v>
      </c>
      <c r="R180" s="50">
        <f t="shared" ref="R180" si="314">R179*U174</f>
        <v>2375.9054891503238</v>
      </c>
      <c r="S180" s="51"/>
    </row>
    <row r="181" spans="2:21" outlineLevel="1" x14ac:dyDescent="0.25">
      <c r="C181" s="40" t="s">
        <v>1047</v>
      </c>
      <c r="D181" s="848">
        <f>SUMPRODUCT(D175:K175,D171:K171)/SUM(D171:K171)</f>
        <v>9.936948218415427E-2</v>
      </c>
      <c r="E181" s="55"/>
      <c r="F181" s="55"/>
      <c r="G181" s="6"/>
      <c r="H181" s="6"/>
      <c r="I181" s="6"/>
      <c r="J181" s="6"/>
      <c r="K181" s="6"/>
      <c r="L181" s="6"/>
      <c r="M181" s="6"/>
      <c r="N181" s="6"/>
      <c r="O181" s="6"/>
      <c r="P181" s="6"/>
      <c r="Q181" s="6"/>
      <c r="R181" s="6"/>
    </row>
    <row r="182" spans="2:21" ht="13.15" customHeight="1" outlineLevel="1" x14ac:dyDescent="0.25">
      <c r="C182" s="4"/>
      <c r="D182" s="847">
        <v>1</v>
      </c>
      <c r="E182" s="847">
        <f t="shared" ref="E182" si="315">D182+1</f>
        <v>2</v>
      </c>
      <c r="F182" s="847">
        <f t="shared" ref="F182" si="316">E182+1</f>
        <v>3</v>
      </c>
      <c r="G182" s="12">
        <f t="shared" ref="G182" si="317">F182+1</f>
        <v>4</v>
      </c>
      <c r="H182" s="12">
        <f t="shared" ref="H182" si="318">G182+1</f>
        <v>5</v>
      </c>
      <c r="I182" s="12">
        <f t="shared" ref="I182" si="319">H182+1</f>
        <v>6</v>
      </c>
      <c r="J182" s="12">
        <f t="shared" ref="J182" si="320">I182+1</f>
        <v>7</v>
      </c>
      <c r="K182" s="12">
        <f t="shared" ref="K182" si="321">J182+1</f>
        <v>8</v>
      </c>
      <c r="L182" s="4"/>
      <c r="M182" s="4"/>
      <c r="N182" s="4"/>
      <c r="O182" s="4"/>
      <c r="P182" s="4"/>
      <c r="Q182" s="4"/>
      <c r="R182" s="4"/>
    </row>
    <row r="183" spans="2:21" ht="15.75" outlineLevel="1" thickBot="1" x14ac:dyDescent="0.3">
      <c r="B183" s="53" t="s">
        <v>825</v>
      </c>
      <c r="C183" s="52" t="s">
        <v>913</v>
      </c>
      <c r="D183" s="1288" t="str">
        <f>+D172</f>
        <v>2008/12</v>
      </c>
      <c r="E183" s="16" t="str">
        <f t="shared" ref="E183:U183" si="322">+E172</f>
        <v>2009/12</v>
      </c>
      <c r="F183" s="16" t="str">
        <f t="shared" si="322"/>
        <v>2010/12</v>
      </c>
      <c r="G183" s="16" t="str">
        <f t="shared" si="322"/>
        <v>2011/12</v>
      </c>
      <c r="H183" s="16" t="str">
        <f t="shared" si="322"/>
        <v>2012/12</v>
      </c>
      <c r="I183" s="16" t="str">
        <f t="shared" si="322"/>
        <v>2013/12</v>
      </c>
      <c r="J183" s="16" t="str">
        <f t="shared" si="322"/>
        <v>2014/12</v>
      </c>
      <c r="K183" s="18" t="str">
        <f t="shared" si="322"/>
        <v>2015/12</v>
      </c>
      <c r="L183" s="19">
        <f t="shared" si="322"/>
        <v>2016</v>
      </c>
      <c r="M183" s="20">
        <f t="shared" si="322"/>
        <v>2017</v>
      </c>
      <c r="N183" s="20">
        <f t="shared" si="322"/>
        <v>2018</v>
      </c>
      <c r="O183" s="20">
        <f t="shared" si="322"/>
        <v>2019</v>
      </c>
      <c r="P183" s="20">
        <f t="shared" si="322"/>
        <v>2020</v>
      </c>
      <c r="Q183" s="20">
        <f t="shared" si="322"/>
        <v>2021</v>
      </c>
      <c r="R183" s="20">
        <f t="shared" si="322"/>
        <v>2022</v>
      </c>
      <c r="S183" s="20">
        <f t="shared" si="322"/>
        <v>2023</v>
      </c>
      <c r="T183" s="20">
        <f t="shared" si="322"/>
        <v>2024</v>
      </c>
      <c r="U183" s="21">
        <f t="shared" si="322"/>
        <v>2025</v>
      </c>
    </row>
    <row r="184" spans="2:21" outlineLevel="1" x14ac:dyDescent="0.25">
      <c r="C184" s="22" t="s">
        <v>818</v>
      </c>
      <c r="D184" s="23">
        <f>IF(Duz!D29&lt;0,-Duz!D29,0)</f>
        <v>25.593000000000004</v>
      </c>
      <c r="E184" s="24">
        <f>IF(Duz!E29&lt;0,-Duz!E29,0)</f>
        <v>53.691999999999993</v>
      </c>
      <c r="F184" s="24">
        <f>IF(Duz!F29&lt;0,-Duz!F29,0)</f>
        <v>89.305000000000007</v>
      </c>
      <c r="G184" s="24">
        <f>IF(Duz!G29&lt;0,-Duz!G29,0)</f>
        <v>162.755</v>
      </c>
      <c r="H184" s="24">
        <f>IF(Duz!H29&lt;0,-Duz!H29,0)</f>
        <v>150.43799999999999</v>
      </c>
      <c r="I184" s="24">
        <f>IF(Duz!I29&lt;0,-Duz!I29,0)</f>
        <v>154.85599999999999</v>
      </c>
      <c r="J184" s="24">
        <f>IF(Duz!J29&lt;0,-Duz!J29,0)</f>
        <v>168.06900000000002</v>
      </c>
      <c r="K184" s="538">
        <f>IF(Duz!K29&lt;0,-Duz!K29,0)</f>
        <v>0</v>
      </c>
      <c r="L184" s="26">
        <f>Sales!E338</f>
        <v>0</v>
      </c>
      <c r="M184" s="27">
        <f>Sales!F338</f>
        <v>0</v>
      </c>
      <c r="N184" s="28">
        <f>Sales!G338</f>
        <v>0</v>
      </c>
      <c r="O184" s="28">
        <f>Sales!H338</f>
        <v>0</v>
      </c>
      <c r="P184" s="28">
        <f>Sales!I338</f>
        <v>0</v>
      </c>
      <c r="Q184" s="28">
        <f>Sales!J338</f>
        <v>0</v>
      </c>
      <c r="R184" s="28">
        <f>Sales!K338</f>
        <v>0</v>
      </c>
      <c r="S184" s="28">
        <f>Sales!L338</f>
        <v>0</v>
      </c>
      <c r="T184" s="28">
        <f>Sales!M338</f>
        <v>0</v>
      </c>
      <c r="U184" s="28">
        <f>Sales!N338</f>
        <v>0</v>
      </c>
    </row>
    <row r="185" spans="2:21" outlineLevel="1" x14ac:dyDescent="0.25">
      <c r="C185" s="29" t="s">
        <v>296</v>
      </c>
      <c r="D185" s="30">
        <f>+D174</f>
        <v>4905.2920000000004</v>
      </c>
      <c r="E185" s="31">
        <f t="shared" ref="E185:U185" si="323">+E174</f>
        <v>4417.8919999999998</v>
      </c>
      <c r="F185" s="31">
        <f t="shared" si="323"/>
        <v>4868.473</v>
      </c>
      <c r="G185" s="31">
        <f t="shared" si="323"/>
        <v>5897.009</v>
      </c>
      <c r="H185" s="31">
        <f t="shared" si="323"/>
        <v>7503.0240000000003</v>
      </c>
      <c r="I185" s="31">
        <f t="shared" si="323"/>
        <v>7709.326</v>
      </c>
      <c r="J185" s="31">
        <f t="shared" si="323"/>
        <v>8535.2009999999991</v>
      </c>
      <c r="K185" s="32">
        <f t="shared" si="323"/>
        <v>9630.2070000000003</v>
      </c>
      <c r="L185" s="33">
        <f t="shared" si="323"/>
        <v>10800.7226691411</v>
      </c>
      <c r="M185" s="33">
        <f t="shared" si="323"/>
        <v>12003.718058827419</v>
      </c>
      <c r="N185" s="33">
        <f t="shared" si="323"/>
        <v>13218.615758094162</v>
      </c>
      <c r="O185" s="33">
        <f t="shared" si="323"/>
        <v>14559.305275137927</v>
      </c>
      <c r="P185" s="33">
        <f t="shared" si="323"/>
        <v>16039.067965641627</v>
      </c>
      <c r="Q185" s="33">
        <f t="shared" si="323"/>
        <v>17694.998308208349</v>
      </c>
      <c r="R185" s="33">
        <f t="shared" si="323"/>
        <v>19223.037403328242</v>
      </c>
      <c r="S185" s="33">
        <f t="shared" si="323"/>
        <v>20754.587764915501</v>
      </c>
      <c r="T185" s="33">
        <f t="shared" si="323"/>
        <v>22264.772961763127</v>
      </c>
      <c r="U185" s="33">
        <f t="shared" si="323"/>
        <v>23886.114881703343</v>
      </c>
    </row>
    <row r="186" spans="2:21" outlineLevel="1" x14ac:dyDescent="0.25">
      <c r="C186" s="35" t="s">
        <v>1048</v>
      </c>
      <c r="D186" s="36">
        <f>D184/D185</f>
        <v>5.2174264039735047E-3</v>
      </c>
      <c r="E186" s="37">
        <f t="shared" ref="E186:K186" si="324">E184/E185</f>
        <v>1.2153307505027284E-2</v>
      </c>
      <c r="F186" s="37">
        <f t="shared" si="324"/>
        <v>1.8343533999264246E-2</v>
      </c>
      <c r="G186" s="37">
        <f t="shared" si="324"/>
        <v>2.7599584806467143E-2</v>
      </c>
      <c r="H186" s="37">
        <f t="shared" si="324"/>
        <v>2.0050315712704634E-2</v>
      </c>
      <c r="I186" s="37">
        <f t="shared" si="324"/>
        <v>2.0086840276309498E-2</v>
      </c>
      <c r="J186" s="37">
        <f t="shared" si="324"/>
        <v>1.9691276163267865E-2</v>
      </c>
      <c r="K186" s="38">
        <f t="shared" si="324"/>
        <v>0</v>
      </c>
      <c r="L186" s="39"/>
      <c r="M186" s="39"/>
      <c r="N186" s="39"/>
      <c r="O186" s="39"/>
      <c r="P186" s="39"/>
      <c r="Q186" s="39"/>
      <c r="R186" s="39"/>
      <c r="S186" s="39"/>
      <c r="T186" s="39"/>
      <c r="U186" s="39"/>
    </row>
    <row r="187" spans="2:21" outlineLevel="1" x14ac:dyDescent="0.25">
      <c r="C187" s="4"/>
      <c r="D187" s="55"/>
      <c r="E187" s="55"/>
      <c r="F187" s="55"/>
      <c r="G187" s="4"/>
      <c r="H187" s="4"/>
      <c r="I187" s="4"/>
      <c r="J187" s="4"/>
      <c r="K187" s="4"/>
      <c r="L187" s="4"/>
      <c r="M187" s="4"/>
      <c r="N187" s="4"/>
      <c r="O187" s="4"/>
      <c r="P187" s="4"/>
      <c r="Q187" s="4"/>
      <c r="R187" s="4"/>
    </row>
    <row r="188" spans="2:21" outlineLevel="1" x14ac:dyDescent="0.25">
      <c r="C188" s="40" t="s">
        <v>1049</v>
      </c>
      <c r="D188" s="848">
        <f>MIN(D186:K186)</f>
        <v>0</v>
      </c>
      <c r="E188" s="55"/>
      <c r="F188" s="55"/>
      <c r="G188" s="6"/>
      <c r="H188" s="6"/>
      <c r="I188" s="6"/>
      <c r="J188" s="6"/>
      <c r="K188" s="6"/>
      <c r="L188" s="6"/>
      <c r="M188" s="6"/>
      <c r="N188" s="6"/>
      <c r="O188" s="6"/>
      <c r="P188" s="6"/>
      <c r="Q188" s="6"/>
      <c r="R188" s="6"/>
    </row>
    <row r="189" spans="2:21" ht="15.75" outlineLevel="1" thickBot="1" x14ac:dyDescent="0.3">
      <c r="C189" s="40" t="s">
        <v>1050</v>
      </c>
      <c r="D189" s="848">
        <f>MAX(D186:K186)</f>
        <v>2.7599584806467143E-2</v>
      </c>
      <c r="E189" s="55"/>
      <c r="F189" s="55"/>
      <c r="G189" s="6"/>
      <c r="H189" s="6"/>
      <c r="I189" s="41">
        <f>LEFT(K183,4)+1</f>
        <v>2016</v>
      </c>
      <c r="J189" s="42">
        <f t="shared" ref="J189" si="325">I189+1</f>
        <v>2017</v>
      </c>
      <c r="K189" s="42">
        <f t="shared" ref="K189" si="326">J189+1</f>
        <v>2018</v>
      </c>
      <c r="L189" s="42">
        <f t="shared" ref="L189" si="327">K189+1</f>
        <v>2019</v>
      </c>
      <c r="M189" s="42">
        <f t="shared" ref="M189" si="328">L189+1</f>
        <v>2020</v>
      </c>
      <c r="N189" s="42">
        <f t="shared" ref="N189" si="329">M189+1</f>
        <v>2021</v>
      </c>
      <c r="O189" s="42">
        <f t="shared" ref="O189" si="330">N189+1</f>
        <v>2022</v>
      </c>
      <c r="P189" s="42">
        <f t="shared" ref="P189" si="331">O189+1</f>
        <v>2023</v>
      </c>
      <c r="Q189" s="42">
        <f t="shared" ref="Q189" si="332">P189+1</f>
        <v>2024</v>
      </c>
      <c r="R189" s="42">
        <f t="shared" ref="R189" si="333">Q189+1</f>
        <v>2025</v>
      </c>
      <c r="S189" s="43" t="s">
        <v>267</v>
      </c>
    </row>
    <row r="190" spans="2:21" outlineLevel="1" x14ac:dyDescent="0.25">
      <c r="C190" s="40" t="s">
        <v>1051</v>
      </c>
      <c r="D190" s="848">
        <f>AVERAGE(D186:K186)</f>
        <v>1.5392785608376772E-2</v>
      </c>
      <c r="E190" s="55"/>
      <c r="F190" s="55"/>
      <c r="G190" s="2107" t="s">
        <v>1006</v>
      </c>
      <c r="H190" s="44" t="s">
        <v>1048</v>
      </c>
      <c r="I190" s="45">
        <f>K186</f>
        <v>0</v>
      </c>
      <c r="J190" s="46">
        <f>I190</f>
        <v>0</v>
      </c>
      <c r="K190" s="46">
        <f>J190</f>
        <v>0</v>
      </c>
      <c r="L190" s="46">
        <f>K190</f>
        <v>0</v>
      </c>
      <c r="M190" s="46">
        <f>L190</f>
        <v>0</v>
      </c>
      <c r="N190" s="46">
        <f>M190-($M$30-$R$30)/5</f>
        <v>0</v>
      </c>
      <c r="O190" s="46">
        <f>N190-($M$30-$R$30)/5</f>
        <v>0</v>
      </c>
      <c r="P190" s="46">
        <f>O190-($M$30-$R$30)/5</f>
        <v>0</v>
      </c>
      <c r="Q190" s="46">
        <f>P190-($M$30-$R$30)/5</f>
        <v>0</v>
      </c>
      <c r="R190" s="46">
        <f>Q190-($M$30-$R$30)/5</f>
        <v>0</v>
      </c>
      <c r="S190" s="47"/>
    </row>
    <row r="191" spans="2:21" ht="15.75" outlineLevel="1" thickBot="1" x14ac:dyDescent="0.3">
      <c r="C191" s="40" t="s">
        <v>1052</v>
      </c>
      <c r="D191" s="848">
        <f>MEDIAN(D186:K186)</f>
        <v>1.9017405081266057E-2</v>
      </c>
      <c r="E191" s="55"/>
      <c r="F191" s="55"/>
      <c r="G191" s="2108"/>
      <c r="H191" s="48" t="s">
        <v>1048</v>
      </c>
      <c r="I191" s="49">
        <f t="shared" ref="I191" si="334">I190*L185</f>
        <v>0</v>
      </c>
      <c r="J191" s="50">
        <f t="shared" ref="J191" si="335">J190*M185</f>
        <v>0</v>
      </c>
      <c r="K191" s="50">
        <f t="shared" ref="K191" si="336">K190*N185</f>
        <v>0</v>
      </c>
      <c r="L191" s="50">
        <f t="shared" ref="L191" si="337">L190*O185</f>
        <v>0</v>
      </c>
      <c r="M191" s="50">
        <f t="shared" ref="M191" si="338">M190*P185</f>
        <v>0</v>
      </c>
      <c r="N191" s="50">
        <f t="shared" ref="N191" si="339">N190*Q185</f>
        <v>0</v>
      </c>
      <c r="O191" s="50">
        <f t="shared" ref="O191" si="340">O190*R185</f>
        <v>0</v>
      </c>
      <c r="P191" s="50">
        <f t="shared" ref="P191" si="341">P190*S185</f>
        <v>0</v>
      </c>
      <c r="Q191" s="50">
        <f t="shared" ref="Q191" si="342">Q190*T185</f>
        <v>0</v>
      </c>
      <c r="R191" s="50">
        <f t="shared" ref="R191" si="343">R190*U185</f>
        <v>0</v>
      </c>
      <c r="S191" s="51"/>
    </row>
    <row r="192" spans="2:21" ht="15.75" outlineLevel="1" thickBot="1" x14ac:dyDescent="0.3">
      <c r="C192" s="40" t="s">
        <v>1053</v>
      </c>
      <c r="D192" s="848">
        <f>SUMPRODUCT(D186:K186,D182:K182)/SUM(D182:K182)</f>
        <v>1.5376792666720682E-2</v>
      </c>
      <c r="E192" s="55"/>
      <c r="F192" s="55"/>
      <c r="G192" s="6"/>
      <c r="H192" s="6"/>
      <c r="I192" s="6"/>
      <c r="J192" s="6"/>
      <c r="K192" s="6"/>
      <c r="L192" s="6"/>
      <c r="M192" s="6"/>
      <c r="N192" s="6"/>
      <c r="O192" s="6"/>
      <c r="P192" s="6"/>
      <c r="Q192" s="6"/>
      <c r="R192" s="6"/>
    </row>
    <row r="193" spans="2:23" ht="20.25" thickTop="1" thickBot="1" x14ac:dyDescent="0.35">
      <c r="C193" s="1345" t="s">
        <v>1078</v>
      </c>
      <c r="D193" s="1328"/>
      <c r="E193" s="1328"/>
      <c r="F193" s="1328"/>
      <c r="G193" s="1329"/>
      <c r="H193" s="1328"/>
      <c r="I193" s="1328"/>
      <c r="J193" s="1328"/>
      <c r="K193" s="1328"/>
      <c r="L193" s="1328"/>
      <c r="M193" s="1330"/>
    </row>
    <row r="194" spans="2:23" s="319" customFormat="1" ht="20.25" thickTop="1" thickBot="1" x14ac:dyDescent="0.35">
      <c r="C194" s="1331" t="s">
        <v>980</v>
      </c>
      <c r="D194" s="1323">
        <f t="shared" ref="D194:M194" si="344">+I155</f>
        <v>2016</v>
      </c>
      <c r="E194" s="1324">
        <f t="shared" si="344"/>
        <v>2017</v>
      </c>
      <c r="F194" s="1325">
        <f t="shared" si="344"/>
        <v>2018</v>
      </c>
      <c r="G194" s="1325">
        <f t="shared" si="344"/>
        <v>2019</v>
      </c>
      <c r="H194" s="1325">
        <f t="shared" si="344"/>
        <v>2020</v>
      </c>
      <c r="I194" s="1325">
        <f t="shared" si="344"/>
        <v>2021</v>
      </c>
      <c r="J194" s="1325">
        <f t="shared" si="344"/>
        <v>2022</v>
      </c>
      <c r="K194" s="1325">
        <f t="shared" si="344"/>
        <v>2023</v>
      </c>
      <c r="L194" s="1326">
        <f t="shared" si="344"/>
        <v>2024</v>
      </c>
      <c r="M194" s="1332">
        <f t="shared" si="344"/>
        <v>2025</v>
      </c>
      <c r="N194" s="1327"/>
      <c r="O194" s="1327"/>
      <c r="P194" s="1327"/>
      <c r="Q194" s="1327"/>
      <c r="R194" s="1327"/>
    </row>
    <row r="195" spans="2:23" x14ac:dyDescent="0.25">
      <c r="C195" s="1333" t="s">
        <v>980</v>
      </c>
      <c r="D195" s="1292"/>
      <c r="E195" s="1292"/>
      <c r="F195" s="1292"/>
      <c r="G195" s="1292"/>
      <c r="H195" s="1292"/>
      <c r="I195" s="1292"/>
      <c r="J195" s="1292"/>
      <c r="K195" s="1292"/>
      <c r="L195" s="1292"/>
      <c r="M195" s="1334"/>
    </row>
    <row r="196" spans="2:23" x14ac:dyDescent="0.25">
      <c r="C196" s="1335" t="s">
        <v>44</v>
      </c>
      <c r="D196" s="1290">
        <f t="shared" ref="D196:M196" si="345">+I124</f>
        <v>5372.7954097546562</v>
      </c>
      <c r="E196" s="1290">
        <f t="shared" si="345"/>
        <v>5971.2227840755877</v>
      </c>
      <c r="F196" s="1290">
        <f t="shared" si="345"/>
        <v>6575.5709357591204</v>
      </c>
      <c r="G196" s="1290">
        <f t="shared" si="345"/>
        <v>7242.4939467220292</v>
      </c>
      <c r="H196" s="1290">
        <f t="shared" si="345"/>
        <v>7978.5985977357859</v>
      </c>
      <c r="I196" s="1290">
        <f t="shared" si="345"/>
        <v>8802.3374544731796</v>
      </c>
      <c r="J196" s="1290">
        <f t="shared" si="345"/>
        <v>9562.4570953229795</v>
      </c>
      <c r="K196" s="1290">
        <f t="shared" si="345"/>
        <v>10324.323407848016</v>
      </c>
      <c r="L196" s="1290">
        <f t="shared" si="345"/>
        <v>11075.561666810516</v>
      </c>
      <c r="M196" s="1336">
        <f t="shared" si="345"/>
        <v>11882.094589833001</v>
      </c>
    </row>
    <row r="197" spans="2:23" x14ac:dyDescent="0.25">
      <c r="C197" s="1337" t="s">
        <v>4</v>
      </c>
      <c r="D197" s="1290">
        <f t="shared" ref="D197:M197" si="346">+I135</f>
        <v>2400.1729301513551</v>
      </c>
      <c r="E197" s="1290">
        <f t="shared" si="346"/>
        <v>2667.5066130790365</v>
      </c>
      <c r="F197" s="1290">
        <f t="shared" si="346"/>
        <v>2937.4852672865409</v>
      </c>
      <c r="G197" s="1290">
        <f t="shared" si="346"/>
        <v>3235.4178024621738</v>
      </c>
      <c r="H197" s="1290">
        <f t="shared" si="346"/>
        <v>3564.2556461504014</v>
      </c>
      <c r="I197" s="1290">
        <f t="shared" si="346"/>
        <v>3932.2420581893443</v>
      </c>
      <c r="J197" s="1290">
        <f t="shared" si="346"/>
        <v>4271.8080469354836</v>
      </c>
      <c r="K197" s="1290">
        <f t="shared" si="346"/>
        <v>4612.154321129522</v>
      </c>
      <c r="L197" s="1290">
        <f t="shared" si="346"/>
        <v>4947.7527565328455</v>
      </c>
      <c r="M197" s="1336">
        <f t="shared" si="346"/>
        <v>5308.052812924313</v>
      </c>
    </row>
    <row r="198" spans="2:23" x14ac:dyDescent="0.25">
      <c r="C198" s="1337" t="s">
        <v>94</v>
      </c>
      <c r="D198" s="1290">
        <f t="shared" ref="D198:M198" si="347">+I146</f>
        <v>375.19760051303012</v>
      </c>
      <c r="E198" s="1290">
        <f t="shared" si="347"/>
        <v>416.9874878627104</v>
      </c>
      <c r="F198" s="1290">
        <f t="shared" si="347"/>
        <v>459.19083995284711</v>
      </c>
      <c r="G198" s="1290">
        <f t="shared" si="347"/>
        <v>505.76397262525524</v>
      </c>
      <c r="H198" s="1290">
        <f t="shared" si="347"/>
        <v>557.16825619157373</v>
      </c>
      <c r="I198" s="1290">
        <f t="shared" si="347"/>
        <v>614.69228584959671</v>
      </c>
      <c r="J198" s="1290">
        <f t="shared" si="347"/>
        <v>667.77360452997698</v>
      </c>
      <c r="K198" s="1290">
        <f t="shared" si="347"/>
        <v>720.97689826644137</v>
      </c>
      <c r="L198" s="1290">
        <f t="shared" si="347"/>
        <v>773.43800476317779</v>
      </c>
      <c r="M198" s="1336">
        <f t="shared" si="347"/>
        <v>829.76049508234962</v>
      </c>
    </row>
    <row r="199" spans="2:23" x14ac:dyDescent="0.25">
      <c r="C199" s="1337" t="s">
        <v>1004</v>
      </c>
      <c r="D199" s="1290">
        <f t="shared" ref="D199:M199" si="348">+I157</f>
        <v>0</v>
      </c>
      <c r="E199" s="1290">
        <f t="shared" si="348"/>
        <v>0</v>
      </c>
      <c r="F199" s="1290">
        <f t="shared" si="348"/>
        <v>0</v>
      </c>
      <c r="G199" s="1290">
        <f t="shared" si="348"/>
        <v>0</v>
      </c>
      <c r="H199" s="1290">
        <f t="shared" si="348"/>
        <v>0</v>
      </c>
      <c r="I199" s="1290">
        <f t="shared" si="348"/>
        <v>0</v>
      </c>
      <c r="J199" s="1290">
        <f t="shared" si="348"/>
        <v>0</v>
      </c>
      <c r="K199" s="1290">
        <f t="shared" si="348"/>
        <v>0</v>
      </c>
      <c r="L199" s="1290">
        <f t="shared" si="348"/>
        <v>0</v>
      </c>
      <c r="M199" s="1336">
        <f t="shared" si="348"/>
        <v>0</v>
      </c>
    </row>
    <row r="200" spans="2:23" s="7" customFormat="1" x14ac:dyDescent="0.25">
      <c r="C200" s="1338" t="s">
        <v>1002</v>
      </c>
      <c r="D200" s="1289">
        <f>+SUM(D196:D199)</f>
        <v>8148.1659404190414</v>
      </c>
      <c r="E200" s="1289">
        <f t="shared" ref="E200:M200" si="349">+SUM(E196:E199)</f>
        <v>9055.7168850173348</v>
      </c>
      <c r="F200" s="1289">
        <f t="shared" si="349"/>
        <v>9972.2470429985078</v>
      </c>
      <c r="G200" s="1289">
        <f t="shared" si="349"/>
        <v>10983.675721809457</v>
      </c>
      <c r="H200" s="1289">
        <f t="shared" si="349"/>
        <v>12100.022500077761</v>
      </c>
      <c r="I200" s="1289">
        <f t="shared" si="349"/>
        <v>13349.27179851212</v>
      </c>
      <c r="J200" s="1289">
        <f t="shared" si="349"/>
        <v>14502.038746788441</v>
      </c>
      <c r="K200" s="1289">
        <f t="shared" si="349"/>
        <v>15657.454627243978</v>
      </c>
      <c r="L200" s="1289">
        <f t="shared" si="349"/>
        <v>16796.752428106538</v>
      </c>
      <c r="M200" s="1339">
        <f t="shared" si="349"/>
        <v>18019.907897839661</v>
      </c>
      <c r="N200" s="48"/>
      <c r="O200" s="48"/>
      <c r="P200" s="48"/>
      <c r="Q200" s="48"/>
      <c r="R200" s="48"/>
    </row>
    <row r="201" spans="2:23" x14ac:dyDescent="0.25">
      <c r="C201" s="1337" t="s">
        <v>11</v>
      </c>
      <c r="D201" s="1290">
        <f t="shared" ref="D201:M201" si="350">+I169</f>
        <v>2344.473578110682</v>
      </c>
      <c r="E201" s="1290">
        <f t="shared" si="350"/>
        <v>2605.6034110029491</v>
      </c>
      <c r="F201" s="1290">
        <f t="shared" si="350"/>
        <v>2869.3168349367238</v>
      </c>
      <c r="G201" s="1290">
        <f t="shared" si="350"/>
        <v>3160.3354311404382</v>
      </c>
      <c r="H201" s="1290">
        <f t="shared" si="350"/>
        <v>3481.5421351762693</v>
      </c>
      <c r="I201" s="1290">
        <f t="shared" si="350"/>
        <v>3840.9889105695106</v>
      </c>
      <c r="J201" s="1290">
        <f t="shared" si="350"/>
        <v>4172.6747981318504</v>
      </c>
      <c r="K201" s="1290">
        <f t="shared" si="350"/>
        <v>4505.1228635327116</v>
      </c>
      <c r="L201" s="1290">
        <f t="shared" si="350"/>
        <v>4832.9332703473419</v>
      </c>
      <c r="M201" s="1336">
        <f t="shared" si="350"/>
        <v>5184.8720626694076</v>
      </c>
    </row>
    <row r="202" spans="2:23" x14ac:dyDescent="0.25">
      <c r="C202" s="1337" t="s">
        <v>102</v>
      </c>
      <c r="D202" s="1290">
        <f t="shared" ref="D202:M202" si="351">+I180</f>
        <v>1074.3269218745686</v>
      </c>
      <c r="E202" s="1290">
        <f t="shared" si="351"/>
        <v>1193.9865385151813</v>
      </c>
      <c r="F202" s="1290">
        <f t="shared" si="351"/>
        <v>1314.8300547897759</v>
      </c>
      <c r="G202" s="1290">
        <f t="shared" si="351"/>
        <v>1448.1858390420966</v>
      </c>
      <c r="H202" s="1290">
        <f t="shared" si="351"/>
        <v>1595.3749619454895</v>
      </c>
      <c r="I202" s="1290">
        <f t="shared" si="351"/>
        <v>1760.0871392936999</v>
      </c>
      <c r="J202" s="1290">
        <f t="shared" si="351"/>
        <v>1912.0782224694983</v>
      </c>
      <c r="K202" s="1290">
        <f t="shared" si="351"/>
        <v>2064.4185645061452</v>
      </c>
      <c r="L202" s="1290">
        <f t="shared" si="351"/>
        <v>2214.633755071618</v>
      </c>
      <c r="M202" s="1336">
        <f t="shared" si="351"/>
        <v>2375.9054891503238</v>
      </c>
    </row>
    <row r="203" spans="2:23" ht="13.15" customHeight="1" x14ac:dyDescent="0.25">
      <c r="C203" s="1337" t="s">
        <v>1005</v>
      </c>
      <c r="D203" s="1290">
        <f t="shared" ref="D203:M203" si="352">+I191</f>
        <v>0</v>
      </c>
      <c r="E203" s="1290">
        <f t="shared" si="352"/>
        <v>0</v>
      </c>
      <c r="F203" s="1290">
        <f t="shared" si="352"/>
        <v>0</v>
      </c>
      <c r="G203" s="1290">
        <f t="shared" si="352"/>
        <v>0</v>
      </c>
      <c r="H203" s="1290">
        <f t="shared" si="352"/>
        <v>0</v>
      </c>
      <c r="I203" s="1290">
        <f t="shared" si="352"/>
        <v>0</v>
      </c>
      <c r="J203" s="1290">
        <f t="shared" si="352"/>
        <v>0</v>
      </c>
      <c r="K203" s="1290">
        <f t="shared" si="352"/>
        <v>0</v>
      </c>
      <c r="L203" s="1290">
        <f t="shared" si="352"/>
        <v>0</v>
      </c>
      <c r="M203" s="1336">
        <f t="shared" si="352"/>
        <v>0</v>
      </c>
      <c r="N203" s="4"/>
      <c r="O203" s="4"/>
      <c r="P203" s="4"/>
      <c r="Q203" s="4"/>
      <c r="R203" s="4"/>
    </row>
    <row r="204" spans="2:23" s="7" customFormat="1" ht="16.149999999999999" customHeight="1" x14ac:dyDescent="0.25">
      <c r="C204" s="1340" t="s">
        <v>1003</v>
      </c>
      <c r="D204" s="1291">
        <f>+SUM(D201:D203)</f>
        <v>3418.8004999852506</v>
      </c>
      <c r="E204" s="1291">
        <f t="shared" ref="E204:M204" si="353">+SUM(E201:E203)</f>
        <v>3799.5899495181302</v>
      </c>
      <c r="F204" s="1291">
        <f t="shared" si="353"/>
        <v>4184.1468897264995</v>
      </c>
      <c r="G204" s="1291">
        <f t="shared" si="353"/>
        <v>4608.5212701825349</v>
      </c>
      <c r="H204" s="1291">
        <f t="shared" si="353"/>
        <v>5076.9170971217591</v>
      </c>
      <c r="I204" s="1291">
        <f t="shared" si="353"/>
        <v>5601.0760498632108</v>
      </c>
      <c r="J204" s="1291">
        <f t="shared" si="353"/>
        <v>6084.7530206013489</v>
      </c>
      <c r="K204" s="1291">
        <f t="shared" si="353"/>
        <v>6569.5414280388568</v>
      </c>
      <c r="L204" s="1291">
        <f t="shared" si="353"/>
        <v>7047.5670254189599</v>
      </c>
      <c r="M204" s="1341">
        <f t="shared" si="353"/>
        <v>7560.7775518197313</v>
      </c>
    </row>
    <row r="205" spans="2:23" ht="17.45" customHeight="1" thickBot="1" x14ac:dyDescent="0.3">
      <c r="C205" s="1342" t="s">
        <v>980</v>
      </c>
      <c r="D205" s="1343">
        <f>+D200-D204</f>
        <v>4729.3654404337904</v>
      </c>
      <c r="E205" s="1343">
        <f t="shared" ref="E205:M205" si="354">+E200-E204</f>
        <v>5256.1269354992046</v>
      </c>
      <c r="F205" s="1343">
        <f t="shared" si="354"/>
        <v>5788.1001532720084</v>
      </c>
      <c r="G205" s="1343">
        <f t="shared" si="354"/>
        <v>6375.1544516269223</v>
      </c>
      <c r="H205" s="1343">
        <f t="shared" si="354"/>
        <v>7023.1054029560019</v>
      </c>
      <c r="I205" s="1343">
        <f t="shared" si="354"/>
        <v>7748.1957486489091</v>
      </c>
      <c r="J205" s="1343">
        <f t="shared" si="354"/>
        <v>8417.2857261870922</v>
      </c>
      <c r="K205" s="1343">
        <f t="shared" si="354"/>
        <v>9087.9131992051225</v>
      </c>
      <c r="L205" s="1343">
        <f t="shared" si="354"/>
        <v>9749.1854026875772</v>
      </c>
      <c r="M205" s="1344">
        <f t="shared" si="354"/>
        <v>10459.130346019931</v>
      </c>
      <c r="N205" s="4"/>
      <c r="O205" s="4"/>
      <c r="P205" s="4"/>
      <c r="Q205" s="4"/>
      <c r="R205" s="4"/>
    </row>
    <row r="206" spans="2:23" s="54" customFormat="1" ht="16.5" thickTop="1" thickBot="1" x14ac:dyDescent="0.3">
      <c r="D206" s="849"/>
      <c r="E206" s="849"/>
      <c r="F206" s="849"/>
    </row>
    <row r="207" spans="2:23" s="319" customFormat="1" ht="19.5" thickBot="1" x14ac:dyDescent="0.35">
      <c r="B207" s="1280" t="s">
        <v>282</v>
      </c>
      <c r="C207" s="1281" t="s">
        <v>1340</v>
      </c>
      <c r="D207" s="1282"/>
      <c r="E207" s="1282"/>
      <c r="F207" s="1282"/>
      <c r="G207" s="1283"/>
      <c r="H207" s="1284"/>
      <c r="I207" s="1285"/>
      <c r="J207" s="1285"/>
      <c r="K207" s="1285"/>
      <c r="L207" s="1286"/>
      <c r="M207" s="1286"/>
      <c r="N207" s="1286"/>
      <c r="O207" s="1286"/>
      <c r="P207" s="1286"/>
      <c r="Q207" s="1286"/>
      <c r="R207" s="1286"/>
      <c r="S207" s="1286"/>
      <c r="T207" s="1286"/>
      <c r="U207" s="1287"/>
      <c r="W207" s="54"/>
    </row>
    <row r="208" spans="2:23" ht="6" customHeight="1" x14ac:dyDescent="0.25">
      <c r="C208" s="4"/>
      <c r="D208" s="55"/>
      <c r="E208" s="55"/>
      <c r="F208" s="55"/>
      <c r="G208" s="4"/>
      <c r="H208" s="55"/>
      <c r="I208" s="55"/>
      <c r="W208" s="54"/>
    </row>
    <row r="209" spans="3:23" ht="15.75" thickBot="1" x14ac:dyDescent="0.3">
      <c r="C209" s="56"/>
      <c r="D209" s="850" t="str">
        <f>LEFT(Mali!C53,4)</f>
        <v>2008</v>
      </c>
      <c r="E209" s="851" t="str">
        <f>LEFT(Mali!D53,4)</f>
        <v>2009</v>
      </c>
      <c r="F209" s="851" t="str">
        <f>LEFT(Mali!E53,4)</f>
        <v>2010</v>
      </c>
      <c r="G209" s="20" t="str">
        <f>LEFT(Mali!F53,4)</f>
        <v>2011</v>
      </c>
      <c r="H209" s="20" t="str">
        <f>LEFT(Mali!G53,4)</f>
        <v>2012</v>
      </c>
      <c r="I209" s="20" t="str">
        <f>LEFT(Mali!H53,4)</f>
        <v>2013</v>
      </c>
      <c r="J209" s="20" t="str">
        <f>LEFT(Mali!I53,4)</f>
        <v>2014</v>
      </c>
      <c r="K209" s="21" t="str">
        <f>LEFT(Mali!J53,4)</f>
        <v>2015</v>
      </c>
      <c r="L209" s="58">
        <f>+K209+1</f>
        <v>2016</v>
      </c>
      <c r="M209" s="59">
        <f t="shared" ref="M209:U209" si="355">+L209+1</f>
        <v>2017</v>
      </c>
      <c r="N209" s="59">
        <f t="shared" si="355"/>
        <v>2018</v>
      </c>
      <c r="O209" s="59">
        <f t="shared" si="355"/>
        <v>2019</v>
      </c>
      <c r="P209" s="59">
        <f t="shared" si="355"/>
        <v>2020</v>
      </c>
      <c r="Q209" s="59">
        <f t="shared" si="355"/>
        <v>2021</v>
      </c>
      <c r="R209" s="59">
        <f t="shared" si="355"/>
        <v>2022</v>
      </c>
      <c r="S209" s="59">
        <f t="shared" si="355"/>
        <v>2023</v>
      </c>
      <c r="T209" s="59">
        <f t="shared" si="355"/>
        <v>2024</v>
      </c>
      <c r="U209" s="60">
        <f t="shared" si="355"/>
        <v>2025</v>
      </c>
      <c r="W209" s="54"/>
    </row>
    <row r="210" spans="3:23" x14ac:dyDescent="0.25">
      <c r="C210" s="61" t="s">
        <v>238</v>
      </c>
      <c r="D210" s="852">
        <f>Mali!C56</f>
        <v>6775.5379999999996</v>
      </c>
      <c r="E210" s="853">
        <f>Mali!D56</f>
        <v>6591.8950000000004</v>
      </c>
      <c r="F210" s="853">
        <f>Mali!E56</f>
        <v>6936.42</v>
      </c>
      <c r="G210" s="62">
        <f>Mali!F56</f>
        <v>8437.2389999999996</v>
      </c>
      <c r="H210" s="62">
        <f>Mali!G56</f>
        <v>10556.861000000001</v>
      </c>
      <c r="I210" s="62">
        <f>Mali!H56</f>
        <v>11097.710999999999</v>
      </c>
      <c r="J210" s="62">
        <f>Mali!I56</f>
        <v>12514.032999999999</v>
      </c>
      <c r="K210" s="63">
        <f>Mali!J56</f>
        <v>14166.1</v>
      </c>
      <c r="L210" s="64">
        <f>Sales!E154</f>
        <v>15887.936510951396</v>
      </c>
      <c r="M210" s="65">
        <f>Sales!F154</f>
        <v>17657.550911746246</v>
      </c>
      <c r="N210" s="65">
        <f>Sales!G154</f>
        <v>19444.673690891348</v>
      </c>
      <c r="O210" s="65">
        <f>Sales!H154</f>
        <v>21416.837089600605</v>
      </c>
      <c r="P210" s="65">
        <f>Sales!I154</f>
        <v>23593.578072421064</v>
      </c>
      <c r="Q210" s="65">
        <f>Sales!J154</f>
        <v>25938.916071454521</v>
      </c>
      <c r="R210" s="65">
        <f>Sales!K154</f>
        <v>28081.168950086354</v>
      </c>
      <c r="S210" s="65">
        <f>Sales!L154</f>
        <v>30213.732173147568</v>
      </c>
      <c r="T210" s="65">
        <f>Sales!M154</f>
        <v>32300.616337178635</v>
      </c>
      <c r="U210" s="66">
        <f>Sales!N154</f>
        <v>34533.888102892684</v>
      </c>
      <c r="W210" s="54"/>
    </row>
    <row r="211" spans="3:23" x14ac:dyDescent="0.25">
      <c r="C211" s="67" t="s">
        <v>272</v>
      </c>
      <c r="D211" s="23">
        <f>Mali!C57</f>
        <v>4905.2920000000004</v>
      </c>
      <c r="E211" s="538">
        <f>Mali!D57</f>
        <v>4417.8919999999998</v>
      </c>
      <c r="F211" s="538">
        <f>Mali!E57</f>
        <v>4868.473</v>
      </c>
      <c r="G211" s="5">
        <f>Mali!F57</f>
        <v>5897.009</v>
      </c>
      <c r="H211" s="5">
        <f>Mali!G57</f>
        <v>7503.0240000000003</v>
      </c>
      <c r="I211" s="5">
        <f>Mali!H57</f>
        <v>7709.326</v>
      </c>
      <c r="J211" s="5">
        <f>Mali!I57</f>
        <v>8535.2009999999991</v>
      </c>
      <c r="K211" s="69">
        <f>Mali!J57</f>
        <v>9630.2070000000003</v>
      </c>
      <c r="L211" s="70">
        <f>+CoS!E181</f>
        <v>10800.7226691411</v>
      </c>
      <c r="M211" s="71">
        <f>+CoS!F181</f>
        <v>12003.718058827419</v>
      </c>
      <c r="N211" s="71">
        <f>+CoS!G181</f>
        <v>13218.615758094162</v>
      </c>
      <c r="O211" s="71">
        <f>+CoS!H181</f>
        <v>14559.305275137927</v>
      </c>
      <c r="P211" s="71">
        <f>+CoS!I181</f>
        <v>16039.067965641627</v>
      </c>
      <c r="Q211" s="71">
        <f>+CoS!J181</f>
        <v>17694.998308208349</v>
      </c>
      <c r="R211" s="71">
        <f>+CoS!K181</f>
        <v>19223.037403328242</v>
      </c>
      <c r="S211" s="71">
        <f>+CoS!L181</f>
        <v>20754.587764915501</v>
      </c>
      <c r="T211" s="71">
        <f>+CoS!M181</f>
        <v>22264.772961763127</v>
      </c>
      <c r="U211" s="27">
        <f>+CoS!N181</f>
        <v>23886.114881703343</v>
      </c>
      <c r="W211" s="54"/>
    </row>
    <row r="212" spans="3:23" ht="20.25" customHeight="1" thickBot="1" x14ac:dyDescent="0.3">
      <c r="C212" s="72" t="s">
        <v>383</v>
      </c>
      <c r="D212" s="850" t="str">
        <f>D209</f>
        <v>2008</v>
      </c>
      <c r="E212" s="851" t="str">
        <f t="shared" ref="E212:U212" si="356">E209</f>
        <v>2009</v>
      </c>
      <c r="F212" s="851" t="str">
        <f t="shared" si="356"/>
        <v>2010</v>
      </c>
      <c r="G212" s="20" t="str">
        <f t="shared" si="356"/>
        <v>2011</v>
      </c>
      <c r="H212" s="20" t="str">
        <f t="shared" si="356"/>
        <v>2012</v>
      </c>
      <c r="I212" s="20" t="str">
        <f t="shared" si="356"/>
        <v>2013</v>
      </c>
      <c r="J212" s="20" t="str">
        <f t="shared" si="356"/>
        <v>2014</v>
      </c>
      <c r="K212" s="21" t="str">
        <f t="shared" si="356"/>
        <v>2015</v>
      </c>
      <c r="L212" s="58">
        <f t="shared" si="356"/>
        <v>2016</v>
      </c>
      <c r="M212" s="59">
        <f t="shared" si="356"/>
        <v>2017</v>
      </c>
      <c r="N212" s="59">
        <f t="shared" si="356"/>
        <v>2018</v>
      </c>
      <c r="O212" s="59">
        <f t="shared" si="356"/>
        <v>2019</v>
      </c>
      <c r="P212" s="59">
        <f t="shared" si="356"/>
        <v>2020</v>
      </c>
      <c r="Q212" s="59">
        <f t="shared" si="356"/>
        <v>2021</v>
      </c>
      <c r="R212" s="59">
        <f t="shared" si="356"/>
        <v>2022</v>
      </c>
      <c r="S212" s="59">
        <f t="shared" si="356"/>
        <v>2023</v>
      </c>
      <c r="T212" s="59">
        <f t="shared" si="356"/>
        <v>2024</v>
      </c>
      <c r="U212" s="60">
        <f t="shared" si="356"/>
        <v>2025</v>
      </c>
      <c r="W212" s="54"/>
    </row>
    <row r="213" spans="3:23" x14ac:dyDescent="0.25">
      <c r="C213" s="22" t="s">
        <v>44</v>
      </c>
      <c r="D213" s="854">
        <f>+OMali!C7</f>
        <v>2644.9270000000001</v>
      </c>
      <c r="E213" s="855">
        <f>+OMali!D7</f>
        <v>2233.011</v>
      </c>
      <c r="F213" s="855">
        <f>+OMali!E7</f>
        <v>2324.578</v>
      </c>
      <c r="G213" s="73">
        <f>+OMali!F7</f>
        <v>3180.87</v>
      </c>
      <c r="H213" s="73">
        <f>+OMali!G7</f>
        <v>3261.4769999999999</v>
      </c>
      <c r="I213" s="73">
        <f>+OMali!H7</f>
        <v>4182.1400000000003</v>
      </c>
      <c r="J213" s="73">
        <f>+OMali!I7</f>
        <v>4433.8980000000001</v>
      </c>
      <c r="K213" s="74">
        <f>+OMali!J7</f>
        <v>4790.5249999999996</v>
      </c>
      <c r="L213" s="75">
        <f>FORECAST(L210,$D$213:$K$213,$D$210:$K$210)</f>
        <v>5449.456774167943</v>
      </c>
      <c r="M213" s="76">
        <f t="shared" ref="M213:U213" si="357">FORECAST(M210,$D$213:$K$213,$D$210:$K$210)</f>
        <v>6034.6707123616898</v>
      </c>
      <c r="N213" s="76">
        <f t="shared" si="357"/>
        <v>6625.6746955737945</v>
      </c>
      <c r="O213" s="76">
        <f t="shared" si="357"/>
        <v>7277.8718684730484</v>
      </c>
      <c r="P213" s="76">
        <f t="shared" si="357"/>
        <v>7997.7231323483393</v>
      </c>
      <c r="Q213" s="76">
        <f t="shared" si="357"/>
        <v>8773.3296634623039</v>
      </c>
      <c r="R213" s="76">
        <f t="shared" si="357"/>
        <v>9481.775663420216</v>
      </c>
      <c r="S213" s="76">
        <f t="shared" si="357"/>
        <v>10187.017280833727</v>
      </c>
      <c r="T213" s="76">
        <f t="shared" si="357"/>
        <v>10877.152770033088</v>
      </c>
      <c r="U213" s="77">
        <f t="shared" si="357"/>
        <v>11615.698842264072</v>
      </c>
      <c r="W213" s="54"/>
    </row>
    <row r="214" spans="3:23" x14ac:dyDescent="0.25">
      <c r="C214" s="22" t="s">
        <v>4</v>
      </c>
      <c r="D214" s="23">
        <f>+OMali!C8</f>
        <v>1303.931</v>
      </c>
      <c r="E214" s="538">
        <f>+OMali!D8</f>
        <v>906.78599999999994</v>
      </c>
      <c r="F214" s="538">
        <f>+OMali!E8</f>
        <v>987.52599999999995</v>
      </c>
      <c r="G214" s="78">
        <f>+OMali!F8</f>
        <v>1530.1410000000001</v>
      </c>
      <c r="H214" s="78">
        <f>+OMali!G8</f>
        <v>1599.6579999999999</v>
      </c>
      <c r="I214" s="78">
        <f>+OMali!H8</f>
        <v>1988.373</v>
      </c>
      <c r="J214" s="78">
        <f>+OMali!I8</f>
        <v>2124.9459999999999</v>
      </c>
      <c r="K214" s="79">
        <f>+OMali!J8</f>
        <v>2140.0569999999998</v>
      </c>
      <c r="L214" s="70">
        <f t="shared" ref="L214:U214" si="358">FORECAST(L210,$D$214:$K$214,$D$210:$K$210)</f>
        <v>2567.249699254553</v>
      </c>
      <c r="M214" s="71">
        <f t="shared" si="358"/>
        <v>2848.6953626220038</v>
      </c>
      <c r="N214" s="71">
        <f t="shared" si="358"/>
        <v>3132.9256197162358</v>
      </c>
      <c r="O214" s="71">
        <f t="shared" si="358"/>
        <v>3446.5853841086491</v>
      </c>
      <c r="P214" s="71">
        <f t="shared" si="358"/>
        <v>3792.781882969557</v>
      </c>
      <c r="Q214" s="71">
        <f t="shared" si="358"/>
        <v>4165.792640941675</v>
      </c>
      <c r="R214" s="71">
        <f t="shared" si="358"/>
        <v>4506.5040310934237</v>
      </c>
      <c r="S214" s="71">
        <f t="shared" si="358"/>
        <v>4845.6743445345346</v>
      </c>
      <c r="T214" s="71">
        <f t="shared" si="358"/>
        <v>5177.5797006691464</v>
      </c>
      <c r="U214" s="27">
        <f t="shared" si="358"/>
        <v>5532.7670529527113</v>
      </c>
      <c r="W214" s="54"/>
    </row>
    <row r="215" spans="3:23" x14ac:dyDescent="0.25">
      <c r="C215" s="22" t="s">
        <v>94</v>
      </c>
      <c r="D215" s="23">
        <f>+OMali!C9</f>
        <v>103.17199999999957</v>
      </c>
      <c r="E215" s="538">
        <f>+OMali!D9</f>
        <v>108.98000000000002</v>
      </c>
      <c r="F215" s="538">
        <f>+OMali!E9</f>
        <v>117.98400000000038</v>
      </c>
      <c r="G215" s="78">
        <f>+OMali!F9</f>
        <v>146.01699999999983</v>
      </c>
      <c r="H215" s="78">
        <f>+OMali!G9</f>
        <v>134.75400000000081</v>
      </c>
      <c r="I215" s="78">
        <f>+OMali!H9</f>
        <v>222.03000000000065</v>
      </c>
      <c r="J215" s="78">
        <f>+OMali!I9</f>
        <v>291.6919999999991</v>
      </c>
      <c r="K215" s="79">
        <f>+OMali!J9</f>
        <v>308.04300000000148</v>
      </c>
      <c r="L215" s="70">
        <f>FORECAST(L211,$D$215:$K$215,$D$210:$K$210)</f>
        <v>210.58012243548387</v>
      </c>
      <c r="M215" s="71">
        <f t="shared" ref="M215:U215" si="359">FORECAST(M211,$D$215:$K$215,$D$210:$K$210)</f>
        <v>243.06865716292009</v>
      </c>
      <c r="N215" s="71">
        <f t="shared" si="359"/>
        <v>275.87863002840368</v>
      </c>
      <c r="O215" s="71">
        <f t="shared" si="359"/>
        <v>312.0857828625833</v>
      </c>
      <c r="P215" s="71">
        <f t="shared" si="359"/>
        <v>352.04879682835548</v>
      </c>
      <c r="Q215" s="71">
        <f t="shared" si="359"/>
        <v>396.76945902035465</v>
      </c>
      <c r="R215" s="71">
        <f t="shared" si="359"/>
        <v>438.03624327596805</v>
      </c>
      <c r="S215" s="71">
        <f t="shared" si="359"/>
        <v>479.39785408165818</v>
      </c>
      <c r="T215" s="71">
        <f t="shared" si="359"/>
        <v>520.18246941209395</v>
      </c>
      <c r="U215" s="27">
        <f t="shared" si="359"/>
        <v>563.9690239763313</v>
      </c>
      <c r="W215" s="54"/>
    </row>
    <row r="216" spans="3:23" x14ac:dyDescent="0.25">
      <c r="C216" s="29" t="s">
        <v>1004</v>
      </c>
      <c r="D216" s="856">
        <f>IF(Duz!D29&gt;0,Duz!D29,0)</f>
        <v>0</v>
      </c>
      <c r="E216" s="539">
        <f>IF(Duz!E29&gt;0,Duz!E29,0)</f>
        <v>0</v>
      </c>
      <c r="F216" s="539">
        <f>IF(Duz!F29&gt;0,Duz!F29,0)</f>
        <v>0</v>
      </c>
      <c r="G216" s="81">
        <f>IF(Duz!G29&gt;0,Duz!G29,0)</f>
        <v>0</v>
      </c>
      <c r="H216" s="81">
        <f>IF(Duz!H29&gt;0,Duz!H29,0)</f>
        <v>0</v>
      </c>
      <c r="I216" s="81">
        <f>IF(Duz!I29&gt;0,Duz!I29,0)</f>
        <v>0</v>
      </c>
      <c r="J216" s="81">
        <f>IF(Duz!J29&gt;0,Duz!J29,0)</f>
        <v>0</v>
      </c>
      <c r="K216" s="82">
        <f>IF(Duz!K29&gt;0,Duz!K29,0)</f>
        <v>49.012</v>
      </c>
      <c r="L216" s="83">
        <f t="shared" ref="L216:U216" si="360">FORECAST(L210,$D$216:$K$216,$D$210:$K$210)</f>
        <v>30.088656488305858</v>
      </c>
      <c r="M216" s="84">
        <f t="shared" si="360"/>
        <v>36.86950491580923</v>
      </c>
      <c r="N216" s="84">
        <f t="shared" si="360"/>
        <v>43.717442342899815</v>
      </c>
      <c r="O216" s="84">
        <f t="shared" si="360"/>
        <v>51.274422595157432</v>
      </c>
      <c r="P216" s="84">
        <f t="shared" si="360"/>
        <v>59.615307854573544</v>
      </c>
      <c r="Q216" s="84">
        <f t="shared" si="360"/>
        <v>68.602226968458851</v>
      </c>
      <c r="R216" s="84">
        <f t="shared" si="360"/>
        <v>76.810959931335134</v>
      </c>
      <c r="S216" s="84">
        <f t="shared" si="360"/>
        <v>84.982563853156151</v>
      </c>
      <c r="T216" s="84">
        <f t="shared" si="360"/>
        <v>92.97913372492917</v>
      </c>
      <c r="U216" s="85">
        <f t="shared" si="360"/>
        <v>101.53663491497818</v>
      </c>
      <c r="W216" s="54"/>
    </row>
    <row r="217" spans="3:23" x14ac:dyDescent="0.25">
      <c r="C217" s="86" t="s">
        <v>11</v>
      </c>
      <c r="D217" s="857">
        <f>+OMali!C20</f>
        <v>705.327</v>
      </c>
      <c r="E217" s="858">
        <f>+OMali!D20</f>
        <v>762.40200000000004</v>
      </c>
      <c r="F217" s="858">
        <f>+OMali!E20</f>
        <v>968.96199999999999</v>
      </c>
      <c r="G217" s="87">
        <f>+OMali!F20</f>
        <v>1249.5309999999999</v>
      </c>
      <c r="H217" s="87">
        <f>+OMali!G20</f>
        <v>1175.8040000000001</v>
      </c>
      <c r="I217" s="87">
        <f>+OMali!H20</f>
        <v>1644.9</v>
      </c>
      <c r="J217" s="87">
        <f>+OMali!I20</f>
        <v>1781.442</v>
      </c>
      <c r="K217" s="88">
        <f>+OMali!J20</f>
        <v>2090.3939999999998</v>
      </c>
      <c r="L217" s="70">
        <f t="shared" ref="L217:U217" si="361">FORECAST(L210,$D$217:$K$217,$D$210:$K$210)</f>
        <v>2338.1991477750616</v>
      </c>
      <c r="M217" s="71">
        <f t="shared" si="361"/>
        <v>2632.7416076506242</v>
      </c>
      <c r="N217" s="71">
        <f t="shared" si="361"/>
        <v>2930.1982395771147</v>
      </c>
      <c r="O217" s="71">
        <f t="shared" si="361"/>
        <v>3258.4538519135995</v>
      </c>
      <c r="P217" s="71">
        <f t="shared" si="361"/>
        <v>3620.7602635837957</v>
      </c>
      <c r="Q217" s="71">
        <f t="shared" si="361"/>
        <v>4011.1287094806312</v>
      </c>
      <c r="R217" s="71">
        <f t="shared" si="361"/>
        <v>4367.6947683148655</v>
      </c>
      <c r="S217" s="71">
        <f t="shared" si="361"/>
        <v>4722.6480379528575</v>
      </c>
      <c r="T217" s="71">
        <f t="shared" si="361"/>
        <v>5069.998282657567</v>
      </c>
      <c r="U217" s="27">
        <f t="shared" si="361"/>
        <v>5441.7139282516573</v>
      </c>
      <c r="W217" s="54"/>
    </row>
    <row r="218" spans="3:23" x14ac:dyDescent="0.25">
      <c r="C218" s="86" t="s">
        <v>102</v>
      </c>
      <c r="D218" s="857">
        <f>+OMali!C21</f>
        <v>435.69100000000026</v>
      </c>
      <c r="E218" s="858">
        <f>+OMali!D21</f>
        <v>492.83599999999979</v>
      </c>
      <c r="F218" s="858">
        <f>+OMali!E21</f>
        <v>533.56800000000021</v>
      </c>
      <c r="G218" s="87">
        <f>+OMali!F21</f>
        <v>651.95100000000002</v>
      </c>
      <c r="H218" s="87">
        <f>+OMali!G21</f>
        <v>625.8720000000003</v>
      </c>
      <c r="I218" s="87">
        <f>+OMali!H21</f>
        <v>758.36700000000019</v>
      </c>
      <c r="J218" s="87">
        <f>+OMali!I21</f>
        <v>842.92699999999968</v>
      </c>
      <c r="K218" s="88">
        <f>+OMali!J21</f>
        <v>957.89800000000014</v>
      </c>
      <c r="L218" s="70">
        <f t="shared" ref="L218:U218" si="362">FORECAST(L210,$D$218:$K$218,$D$210:$K$210)</f>
        <v>1038.895062662277</v>
      </c>
      <c r="M218" s="71">
        <f t="shared" si="362"/>
        <v>1145.4394064239514</v>
      </c>
      <c r="N218" s="71">
        <f t="shared" si="362"/>
        <v>1253.0378886921958</v>
      </c>
      <c r="O218" s="71">
        <f t="shared" si="362"/>
        <v>1371.777233835347</v>
      </c>
      <c r="P218" s="71">
        <f t="shared" si="362"/>
        <v>1502.833716789813</v>
      </c>
      <c r="Q218" s="71">
        <f t="shared" si="362"/>
        <v>1644.0410317246938</v>
      </c>
      <c r="R218" s="71">
        <f t="shared" si="362"/>
        <v>1773.0210665971872</v>
      </c>
      <c r="S218" s="71">
        <f t="shared" si="362"/>
        <v>1901.4177099728749</v>
      </c>
      <c r="T218" s="71">
        <f t="shared" si="362"/>
        <v>2027.0641240523773</v>
      </c>
      <c r="U218" s="27">
        <f t="shared" si="362"/>
        <v>2161.5241932135477</v>
      </c>
      <c r="W218" s="54"/>
    </row>
    <row r="219" spans="3:23" x14ac:dyDescent="0.25">
      <c r="C219" s="89" t="s">
        <v>1005</v>
      </c>
      <c r="D219" s="1311">
        <f>IF(Duz!D29&lt;0,-Duz!D29,0)</f>
        <v>25.593000000000004</v>
      </c>
      <c r="E219" s="1312">
        <f>IF(Duz!E29&lt;0,-Duz!E29,0)</f>
        <v>53.691999999999993</v>
      </c>
      <c r="F219" s="1312">
        <f>IF(Duz!F29&lt;0,-Duz!F29,0)</f>
        <v>89.305000000000007</v>
      </c>
      <c r="G219" s="1313">
        <f>IF(Duz!G29&lt;0,-Duz!G29,0)</f>
        <v>162.755</v>
      </c>
      <c r="H219" s="1313">
        <f>IF(Duz!H29&lt;0,-Duz!H29,0)</f>
        <v>150.43799999999999</v>
      </c>
      <c r="I219" s="1313">
        <f>IF(Duz!I29&lt;0,-Duz!I29,0)</f>
        <v>154.85599999999999</v>
      </c>
      <c r="J219" s="1313">
        <f>IF(Duz!J29&lt;0,-Duz!J29,0)</f>
        <v>168.06900000000002</v>
      </c>
      <c r="K219" s="1314">
        <f>IF(Duz!K29&lt;0,-Duz!K29,0)</f>
        <v>0</v>
      </c>
      <c r="L219" s="83">
        <f t="shared" ref="L219:U219" si="363">FORECAST(L210,$D$219:$K$219,$D$210:$K$210)</f>
        <v>119.68242038731367</v>
      </c>
      <c r="M219" s="84">
        <f t="shared" si="363"/>
        <v>125.08564776780325</v>
      </c>
      <c r="N219" s="84">
        <f t="shared" si="363"/>
        <v>130.54233411045294</v>
      </c>
      <c r="O219" s="84">
        <f t="shared" si="363"/>
        <v>136.56401164083408</v>
      </c>
      <c r="P219" s="84">
        <f t="shared" si="363"/>
        <v>143.21033327639856</v>
      </c>
      <c r="Q219" s="84">
        <f t="shared" si="363"/>
        <v>150.3714382533858</v>
      </c>
      <c r="R219" s="84">
        <f t="shared" si="363"/>
        <v>156.91245611838337</v>
      </c>
      <c r="S219" s="84">
        <f t="shared" si="363"/>
        <v>163.42388820906589</v>
      </c>
      <c r="T219" s="84">
        <f t="shared" si="363"/>
        <v>169.79584678373504</v>
      </c>
      <c r="U219" s="85">
        <f t="shared" si="363"/>
        <v>176.61477589459696</v>
      </c>
      <c r="W219" s="54"/>
    </row>
    <row r="220" spans="3:23" s="54" customFormat="1" x14ac:dyDescent="0.25">
      <c r="C220" s="90"/>
      <c r="D220" s="859"/>
      <c r="E220" s="859"/>
      <c r="F220" s="859"/>
      <c r="G220" s="91"/>
      <c r="H220" s="91"/>
      <c r="I220" s="91"/>
      <c r="J220" s="91"/>
      <c r="K220" s="92" t="s">
        <v>382</v>
      </c>
      <c r="L220" s="93">
        <f t="shared" ref="L220:U220" si="364">SUM(L213:L216)-SUM(L217:L219)</f>
        <v>4760.5986215216335</v>
      </c>
      <c r="M220" s="94">
        <f t="shared" si="364"/>
        <v>5260.0375752200416</v>
      </c>
      <c r="N220" s="94">
        <f t="shared" si="364"/>
        <v>5764.4179252815711</v>
      </c>
      <c r="O220" s="94">
        <f t="shared" si="364"/>
        <v>6321.0223606496584</v>
      </c>
      <c r="P220" s="94">
        <f t="shared" si="364"/>
        <v>6935.364806350819</v>
      </c>
      <c r="Q220" s="94">
        <f t="shared" si="364"/>
        <v>7598.9528109340827</v>
      </c>
      <c r="R220" s="94">
        <f t="shared" si="364"/>
        <v>8205.4986066905076</v>
      </c>
      <c r="S220" s="94">
        <f t="shared" si="364"/>
        <v>8809.5824071682782</v>
      </c>
      <c r="T220" s="94">
        <f t="shared" si="364"/>
        <v>9401.0358203455799</v>
      </c>
      <c r="U220" s="95">
        <f t="shared" si="364"/>
        <v>10034.118656748286</v>
      </c>
    </row>
    <row r="221" spans="3:23" x14ac:dyDescent="0.25">
      <c r="C221" s="4"/>
      <c r="D221" s="55"/>
      <c r="E221" s="55"/>
      <c r="F221" s="55"/>
      <c r="G221" s="4"/>
      <c r="H221" s="55"/>
      <c r="I221" s="55"/>
    </row>
    <row r="222" spans="3:23" ht="12" customHeight="1" x14ac:dyDescent="0.25">
      <c r="C222" s="96"/>
      <c r="D222" s="55"/>
      <c r="E222" s="55"/>
      <c r="F222" s="55"/>
      <c r="G222" s="4"/>
      <c r="H222" s="55"/>
      <c r="I222" s="55"/>
    </row>
    <row r="223" spans="3:23" x14ac:dyDescent="0.25">
      <c r="C223" s="4"/>
      <c r="D223" s="55"/>
      <c r="E223" s="55"/>
      <c r="F223" s="55"/>
      <c r="G223" s="4"/>
      <c r="H223" s="55"/>
      <c r="I223" s="55"/>
    </row>
    <row r="224" spans="3:23" x14ac:dyDescent="0.25">
      <c r="C224" s="4"/>
      <c r="D224" s="55"/>
      <c r="E224" s="55"/>
      <c r="F224" s="55"/>
      <c r="G224" s="4"/>
      <c r="H224" s="55"/>
      <c r="I224" s="55"/>
    </row>
    <row r="225" spans="3:18" x14ac:dyDescent="0.25">
      <c r="C225" s="4"/>
      <c r="D225" s="55"/>
      <c r="E225" s="55"/>
      <c r="F225" s="55"/>
      <c r="G225" s="4"/>
      <c r="H225" s="55"/>
      <c r="I225" s="55"/>
    </row>
    <row r="226" spans="3:18" x14ac:dyDescent="0.25">
      <c r="C226" s="4"/>
      <c r="D226" s="55"/>
      <c r="E226" s="55"/>
      <c r="F226" s="55"/>
      <c r="G226" s="4"/>
      <c r="H226" s="55"/>
      <c r="I226" s="55"/>
    </row>
    <row r="227" spans="3:18" x14ac:dyDescent="0.25">
      <c r="C227" s="4"/>
      <c r="D227" s="55"/>
      <c r="E227" s="55"/>
      <c r="F227" s="55"/>
      <c r="G227" s="4"/>
      <c r="H227" s="55"/>
      <c r="I227" s="55"/>
    </row>
    <row r="228" spans="3:18" x14ac:dyDescent="0.25">
      <c r="C228" s="4"/>
      <c r="D228" s="55"/>
      <c r="E228" s="55"/>
      <c r="F228" s="55"/>
      <c r="G228" s="4"/>
      <c r="H228" s="55"/>
      <c r="I228" s="55"/>
    </row>
    <row r="229" spans="3:18" x14ac:dyDescent="0.25">
      <c r="C229" s="4"/>
      <c r="D229" s="55"/>
      <c r="E229" s="55"/>
      <c r="F229" s="55"/>
      <c r="G229" s="4"/>
      <c r="H229" s="55"/>
      <c r="I229" s="55"/>
    </row>
    <row r="230" spans="3:18" x14ac:dyDescent="0.25">
      <c r="C230" s="4"/>
      <c r="D230" s="55"/>
      <c r="E230" s="55"/>
      <c r="F230" s="55"/>
      <c r="G230" s="4"/>
      <c r="H230" s="55"/>
      <c r="I230" s="55"/>
    </row>
    <row r="231" spans="3:18" x14ac:dyDescent="0.25">
      <c r="C231" s="4"/>
      <c r="D231" s="55"/>
      <c r="E231" s="55"/>
      <c r="F231" s="55"/>
      <c r="G231" s="4"/>
      <c r="H231" s="55"/>
      <c r="I231" s="55"/>
    </row>
    <row r="232" spans="3:18" x14ac:dyDescent="0.25">
      <c r="C232" s="4"/>
      <c r="D232" s="55"/>
      <c r="E232" s="55"/>
      <c r="F232" s="55"/>
      <c r="G232" s="4"/>
      <c r="H232" s="55"/>
      <c r="I232" s="55"/>
    </row>
    <row r="235" spans="3:18" x14ac:dyDescent="0.25">
      <c r="C235" s="4"/>
      <c r="D235" s="55"/>
      <c r="E235" s="55"/>
      <c r="F235" s="55"/>
      <c r="G235" s="4"/>
      <c r="H235" s="4"/>
      <c r="I235" s="4"/>
      <c r="J235" s="4"/>
      <c r="K235" s="4"/>
      <c r="L235" s="4"/>
      <c r="M235" s="4"/>
      <c r="N235" s="4"/>
      <c r="O235" s="4"/>
      <c r="P235" s="4"/>
      <c r="Q235" s="4"/>
      <c r="R235" s="4"/>
    </row>
    <row r="236" spans="3:18" x14ac:dyDescent="0.25">
      <c r="C236" s="4"/>
      <c r="D236" s="55"/>
      <c r="E236" s="55"/>
      <c r="F236" s="55"/>
      <c r="G236" s="4"/>
      <c r="H236" s="4"/>
      <c r="I236" s="4"/>
      <c r="J236" s="4"/>
      <c r="K236" s="4"/>
      <c r="L236" s="4"/>
      <c r="M236" s="4"/>
      <c r="N236" s="4"/>
      <c r="O236" s="4"/>
      <c r="P236" s="4"/>
      <c r="Q236" s="4"/>
      <c r="R236" s="4"/>
    </row>
    <row r="237" spans="3:18" x14ac:dyDescent="0.25">
      <c r="C237" s="4"/>
      <c r="D237" s="55"/>
      <c r="E237" s="55"/>
      <c r="F237" s="55"/>
      <c r="G237" s="4"/>
      <c r="H237" s="4"/>
      <c r="I237" s="4"/>
      <c r="J237" s="4"/>
      <c r="K237" s="4"/>
      <c r="L237" s="4"/>
      <c r="M237" s="4"/>
      <c r="N237" s="4"/>
      <c r="O237" s="4"/>
      <c r="P237" s="4"/>
      <c r="Q237" s="4"/>
      <c r="R237" s="4"/>
    </row>
    <row r="238" spans="3:18" x14ac:dyDescent="0.25">
      <c r="C238" s="4"/>
      <c r="D238" s="55"/>
      <c r="E238" s="55"/>
      <c r="F238" s="55"/>
      <c r="G238" s="4"/>
      <c r="H238" s="4"/>
      <c r="I238" s="4"/>
      <c r="J238" s="4"/>
      <c r="K238" s="4"/>
      <c r="L238" s="4"/>
      <c r="M238" s="4"/>
      <c r="N238" s="4"/>
      <c r="O238" s="4"/>
      <c r="P238" s="4"/>
      <c r="Q238" s="4"/>
      <c r="R238" s="4"/>
    </row>
    <row r="239" spans="3:18" x14ac:dyDescent="0.25">
      <c r="C239" s="4"/>
      <c r="D239" s="55"/>
      <c r="E239" s="55"/>
      <c r="F239" s="55"/>
      <c r="G239" s="4"/>
      <c r="H239" s="4"/>
      <c r="I239" s="4"/>
      <c r="J239" s="4"/>
      <c r="K239" s="4"/>
      <c r="L239" s="4"/>
      <c r="M239" s="4"/>
      <c r="N239" s="4"/>
      <c r="O239" s="4"/>
      <c r="P239" s="4"/>
      <c r="Q239" s="4"/>
      <c r="R239" s="4"/>
    </row>
    <row r="240" spans="3:18" x14ac:dyDescent="0.25">
      <c r="C240" s="4"/>
      <c r="D240" s="55"/>
      <c r="E240" s="55"/>
      <c r="F240" s="55"/>
      <c r="G240" s="4"/>
      <c r="H240" s="4"/>
      <c r="I240" s="4"/>
      <c r="J240" s="4"/>
      <c r="K240" s="4"/>
      <c r="L240" s="4"/>
      <c r="M240" s="4"/>
      <c r="N240" s="4"/>
      <c r="O240" s="4"/>
      <c r="P240" s="4"/>
      <c r="Q240" s="4"/>
      <c r="R240" s="4"/>
    </row>
    <row r="241" spans="3:18" x14ac:dyDescent="0.25">
      <c r="C241" s="4"/>
      <c r="D241" s="55"/>
      <c r="E241" s="55"/>
      <c r="F241" s="55"/>
      <c r="G241" s="4"/>
      <c r="H241" s="4"/>
      <c r="I241" s="4"/>
      <c r="J241" s="4"/>
      <c r="K241" s="4"/>
      <c r="L241" s="4"/>
      <c r="M241" s="4"/>
      <c r="N241" s="4"/>
      <c r="O241" s="4"/>
      <c r="P241" s="4"/>
      <c r="Q241" s="4"/>
      <c r="R241" s="4"/>
    </row>
    <row r="242" spans="3:18" x14ac:dyDescent="0.25">
      <c r="C242" s="4"/>
      <c r="D242" s="55"/>
      <c r="E242" s="55"/>
      <c r="F242" s="55"/>
      <c r="G242" s="4"/>
      <c r="H242" s="4"/>
      <c r="I242" s="4"/>
      <c r="J242" s="4"/>
      <c r="K242" s="4"/>
      <c r="L242" s="4"/>
      <c r="M242" s="4"/>
      <c r="N242" s="4"/>
      <c r="O242" s="4"/>
      <c r="P242" s="4"/>
      <c r="Q242" s="4"/>
      <c r="R242" s="4"/>
    </row>
    <row r="243" spans="3:18" x14ac:dyDescent="0.25">
      <c r="C243" s="4"/>
      <c r="D243" s="55"/>
      <c r="E243" s="55"/>
      <c r="F243" s="55"/>
      <c r="G243" s="4"/>
      <c r="H243" s="4"/>
      <c r="I243" s="4"/>
      <c r="J243" s="4"/>
      <c r="K243" s="4"/>
      <c r="L243" s="4"/>
      <c r="M243" s="4"/>
      <c r="N243" s="4"/>
      <c r="O243" s="4"/>
      <c r="P243" s="4"/>
      <c r="Q243" s="4"/>
      <c r="R243" s="4"/>
    </row>
    <row r="244" spans="3:18" x14ac:dyDescent="0.25">
      <c r="C244" s="4"/>
      <c r="D244" s="55"/>
      <c r="E244" s="55"/>
      <c r="F244" s="55"/>
      <c r="G244" s="4"/>
      <c r="H244" s="4"/>
      <c r="I244" s="4"/>
      <c r="J244" s="4"/>
      <c r="K244" s="4"/>
      <c r="L244" s="4"/>
      <c r="M244" s="4"/>
      <c r="N244" s="4"/>
      <c r="O244" s="4"/>
      <c r="P244" s="4"/>
      <c r="Q244" s="4"/>
      <c r="R244" s="4"/>
    </row>
  </sheetData>
  <mergeCells count="14">
    <mergeCell ref="G86:G87"/>
    <mergeCell ref="G97:G98"/>
    <mergeCell ref="G63:G64"/>
    <mergeCell ref="G30:G31"/>
    <mergeCell ref="G41:G42"/>
    <mergeCell ref="G52:G53"/>
    <mergeCell ref="G75:G76"/>
    <mergeCell ref="G179:G180"/>
    <mergeCell ref="G190:G191"/>
    <mergeCell ref="G123:G124"/>
    <mergeCell ref="G134:G135"/>
    <mergeCell ref="G145:G146"/>
    <mergeCell ref="G156:G157"/>
    <mergeCell ref="G168:G169"/>
  </mergeCells>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ayfa14">
    <tabColor theme="1"/>
  </sheetPr>
  <dimension ref="A1:Z99"/>
  <sheetViews>
    <sheetView topLeftCell="A10" zoomScale="73" zoomScaleNormal="73" workbookViewId="0">
      <selection activeCell="Z27" sqref="Z27"/>
    </sheetView>
  </sheetViews>
  <sheetFormatPr defaultColWidth="9.140625" defaultRowHeight="15" outlineLevelRow="1" x14ac:dyDescent="0.25"/>
  <cols>
    <col min="1" max="1" width="3.28515625" style="4" customWidth="1"/>
    <col min="2" max="2" width="3.7109375" style="4" customWidth="1"/>
    <col min="3" max="3" width="35.42578125" style="4" customWidth="1"/>
    <col min="4" max="4" width="13.28515625" style="4" bestFit="1" customWidth="1"/>
    <col min="5" max="7" width="9.5703125" style="4" customWidth="1"/>
    <col min="8" max="8" width="10.85546875" style="4" customWidth="1"/>
    <col min="9" max="11" width="9.5703125" style="4" customWidth="1"/>
    <col min="12" max="16384" width="9.140625" style="4"/>
  </cols>
  <sheetData>
    <row r="1" spans="1:24" ht="9" customHeight="1" x14ac:dyDescent="0.25"/>
    <row r="2" spans="1:24" x14ac:dyDescent="0.25">
      <c r="J2" s="314"/>
      <c r="K2" s="315" t="s">
        <v>232</v>
      </c>
      <c r="L2" s="316"/>
      <c r="N2" s="317"/>
      <c r="O2" s="315" t="s">
        <v>233</v>
      </c>
      <c r="P2" s="316"/>
      <c r="R2" s="318"/>
      <c r="S2" s="315" t="s">
        <v>263</v>
      </c>
    </row>
    <row r="3" spans="1:24" ht="13.15" customHeight="1" x14ac:dyDescent="0.3">
      <c r="A3" s="319"/>
      <c r="B3" s="319"/>
      <c r="C3" s="319"/>
      <c r="D3" s="319"/>
      <c r="E3" s="319"/>
      <c r="F3" s="319"/>
    </row>
    <row r="4" spans="1:24" ht="20.25" customHeight="1" thickBot="1" x14ac:dyDescent="0.4">
      <c r="B4" s="1521"/>
      <c r="C4" s="1522" t="s">
        <v>1118</v>
      </c>
      <c r="D4" s="1523"/>
      <c r="E4" s="1523"/>
      <c r="F4" s="1523"/>
      <c r="G4" s="1523"/>
      <c r="H4" s="1523"/>
      <c r="I4" s="1523"/>
      <c r="J4" s="1523"/>
      <c r="K4" s="1523"/>
      <c r="L4" s="1524"/>
      <c r="M4" s="1524"/>
      <c r="N4" s="1524"/>
      <c r="O4" s="1525"/>
      <c r="P4" s="1526"/>
      <c r="Q4" s="1525"/>
      <c r="R4" s="1525"/>
      <c r="S4" s="1526"/>
      <c r="T4" s="1526"/>
      <c r="U4" s="1527"/>
    </row>
    <row r="5" spans="1:24" ht="10.5" customHeight="1" thickBot="1" x14ac:dyDescent="0.3"/>
    <row r="6" spans="1:24" s="319" customFormat="1" ht="19.5" outlineLevel="1" thickBot="1" x14ac:dyDescent="0.35">
      <c r="B6" s="1280" t="s">
        <v>251</v>
      </c>
      <c r="C6" s="1281" t="s">
        <v>1117</v>
      </c>
      <c r="D6" s="1282"/>
      <c r="E6" s="1282"/>
      <c r="F6" s="1282"/>
      <c r="G6" s="1283"/>
      <c r="H6" s="1284"/>
      <c r="I6" s="1285"/>
      <c r="J6" s="1285"/>
      <c r="K6" s="1285"/>
      <c r="L6" s="1286"/>
      <c r="M6" s="1286"/>
      <c r="N6" s="1286"/>
      <c r="O6" s="1286"/>
      <c r="P6" s="1286"/>
      <c r="Q6" s="1286"/>
      <c r="R6" s="1286"/>
      <c r="S6" s="1286"/>
      <c r="T6" s="1286"/>
      <c r="U6" s="1287"/>
      <c r="X6" s="319" t="s">
        <v>1807</v>
      </c>
    </row>
    <row r="7" spans="1:24" ht="18.75" outlineLevel="1" x14ac:dyDescent="0.3">
      <c r="C7" s="321"/>
      <c r="D7" s="322">
        <v>1</v>
      </c>
      <c r="E7" s="322">
        <f>D7+1</f>
        <v>2</v>
      </c>
      <c r="F7" s="322">
        <f t="shared" ref="F7:K7" si="0">E7+1</f>
        <v>3</v>
      </c>
      <c r="G7" s="322">
        <f t="shared" si="0"/>
        <v>4</v>
      </c>
      <c r="H7" s="322">
        <f t="shared" si="0"/>
        <v>5</v>
      </c>
      <c r="I7" s="322">
        <f t="shared" si="0"/>
        <v>6</v>
      </c>
      <c r="J7" s="322">
        <f t="shared" si="0"/>
        <v>7</v>
      </c>
      <c r="K7" s="322">
        <f t="shared" si="0"/>
        <v>8</v>
      </c>
      <c r="L7" s="323"/>
      <c r="M7" s="323"/>
      <c r="N7" s="323"/>
      <c r="O7" s="323"/>
      <c r="P7" s="323"/>
      <c r="Q7" s="323"/>
      <c r="R7" s="323"/>
      <c r="S7" s="323"/>
      <c r="T7" s="323"/>
      <c r="U7" s="323"/>
    </row>
    <row r="8" spans="1:24" ht="15.75" outlineLevel="1" thickBot="1" x14ac:dyDescent="0.3">
      <c r="C8" s="324"/>
      <c r="D8" s="15" t="str">
        <f>Mali!C3</f>
        <v>2008/12</v>
      </c>
      <c r="E8" s="16" t="str">
        <f>Mali!D3</f>
        <v>2009/12</v>
      </c>
      <c r="F8" s="16" t="str">
        <f>Mali!E3</f>
        <v>2010/12</v>
      </c>
      <c r="G8" s="16" t="str">
        <f>Mali!F3</f>
        <v>2011/12</v>
      </c>
      <c r="H8" s="16" t="str">
        <f>Mali!G3</f>
        <v>2012/12</v>
      </c>
      <c r="I8" s="16" t="str">
        <f>Mali!H3</f>
        <v>2013/12</v>
      </c>
      <c r="J8" s="16" t="str">
        <f>Mali!I3</f>
        <v>2014/12</v>
      </c>
      <c r="K8" s="325" t="str">
        <f>Mali!J3</f>
        <v>2015/12</v>
      </c>
      <c r="L8" s="19">
        <f>LEFT(K8,4)+1</f>
        <v>2016</v>
      </c>
      <c r="M8" s="20">
        <f t="shared" ref="M8:U8" si="1">L8+1</f>
        <v>2017</v>
      </c>
      <c r="N8" s="20">
        <f t="shared" si="1"/>
        <v>2018</v>
      </c>
      <c r="O8" s="20">
        <f t="shared" si="1"/>
        <v>2019</v>
      </c>
      <c r="P8" s="20">
        <f t="shared" si="1"/>
        <v>2020</v>
      </c>
      <c r="Q8" s="20">
        <f t="shared" si="1"/>
        <v>2021</v>
      </c>
      <c r="R8" s="20">
        <f t="shared" si="1"/>
        <v>2022</v>
      </c>
      <c r="S8" s="20">
        <f t="shared" si="1"/>
        <v>2023</v>
      </c>
      <c r="T8" s="20">
        <f t="shared" si="1"/>
        <v>2024</v>
      </c>
      <c r="U8" s="21">
        <f t="shared" si="1"/>
        <v>2025</v>
      </c>
    </row>
    <row r="9" spans="1:24" outlineLevel="1" x14ac:dyDescent="0.25">
      <c r="C9" s="22" t="s">
        <v>1119</v>
      </c>
      <c r="D9" s="23">
        <f>+UFRS!C229/1000000</f>
        <v>247.774</v>
      </c>
      <c r="E9" s="24">
        <f>+UFRS!D229/1000000</f>
        <v>201.10499999999999</v>
      </c>
      <c r="F9" s="24">
        <f>+UFRS!E229/1000000</f>
        <v>195.54</v>
      </c>
      <c r="G9" s="24">
        <f>+UFRS!F229/1000000</f>
        <v>352.04</v>
      </c>
      <c r="H9" s="24">
        <f>+UFRS!G229/1000000</f>
        <v>470.85500000000002</v>
      </c>
      <c r="I9" s="24">
        <f>+UFRS!H229/1000000</f>
        <v>507.71499999999997</v>
      </c>
      <c r="J9" s="24">
        <f>+UFRS!I229/1000000</f>
        <v>457.09199999999998</v>
      </c>
      <c r="K9" s="25">
        <f>+UFRS!J229/1000000</f>
        <v>659.33600000000001</v>
      </c>
      <c r="L9" s="326"/>
      <c r="M9" s="287"/>
      <c r="N9" s="327"/>
      <c r="O9" s="327"/>
      <c r="P9" s="327"/>
      <c r="Q9" s="327"/>
      <c r="R9" s="327"/>
      <c r="S9" s="327"/>
      <c r="T9" s="327"/>
      <c r="U9" s="327"/>
    </row>
    <row r="10" spans="1:24" outlineLevel="1" x14ac:dyDescent="0.25">
      <c r="C10" s="29" t="s">
        <v>238</v>
      </c>
      <c r="D10" s="30">
        <f>Mali!C56</f>
        <v>6775.5379999999996</v>
      </c>
      <c r="E10" s="31">
        <f>Mali!D56</f>
        <v>6591.8950000000004</v>
      </c>
      <c r="F10" s="31">
        <f>Mali!E56</f>
        <v>6936.42</v>
      </c>
      <c r="G10" s="31">
        <f>Mali!F56</f>
        <v>8437.2389999999996</v>
      </c>
      <c r="H10" s="31">
        <f>Mali!G56</f>
        <v>10556.861000000001</v>
      </c>
      <c r="I10" s="31">
        <f>Mali!H56</f>
        <v>11097.710999999999</v>
      </c>
      <c r="J10" s="31">
        <f>Mali!I56</f>
        <v>12514.032999999999</v>
      </c>
      <c r="K10" s="32">
        <f>Mali!J56</f>
        <v>14166.1</v>
      </c>
      <c r="L10" s="33">
        <f>Sales!E154</f>
        <v>15887.936510951396</v>
      </c>
      <c r="M10" s="34">
        <f>Sales!F154</f>
        <v>17657.550911746246</v>
      </c>
      <c r="N10" s="34">
        <f>Sales!G154</f>
        <v>19444.673690891348</v>
      </c>
      <c r="O10" s="34">
        <f>Sales!H154</f>
        <v>21416.837089600605</v>
      </c>
      <c r="P10" s="34">
        <f>Sales!I154</f>
        <v>23593.578072421064</v>
      </c>
      <c r="Q10" s="34">
        <f>Sales!J154</f>
        <v>25938.916071454521</v>
      </c>
      <c r="R10" s="34">
        <f>Sales!K154</f>
        <v>28081.168950086354</v>
      </c>
      <c r="S10" s="34">
        <f>Sales!L154</f>
        <v>30213.732173147568</v>
      </c>
      <c r="T10" s="34">
        <f>Sales!M154</f>
        <v>32300.616337178635</v>
      </c>
      <c r="U10" s="34">
        <f>Sales!N154</f>
        <v>34533.888102892684</v>
      </c>
    </row>
    <row r="11" spans="1:24" outlineLevel="1" x14ac:dyDescent="0.25">
      <c r="C11" s="35" t="s">
        <v>1120</v>
      </c>
      <c r="D11" s="36">
        <f>D9/D10</f>
        <v>3.6568904196242424E-2</v>
      </c>
      <c r="E11" s="37">
        <f t="shared" ref="E11:K11" si="2">E9/E10</f>
        <v>3.0507919194708043E-2</v>
      </c>
      <c r="F11" s="37">
        <f t="shared" si="2"/>
        <v>2.8190334495316025E-2</v>
      </c>
      <c r="G11" s="37">
        <f t="shared" si="2"/>
        <v>4.1724549938670703E-2</v>
      </c>
      <c r="H11" s="37">
        <f t="shared" si="2"/>
        <v>4.4601799720579816E-2</v>
      </c>
      <c r="I11" s="37">
        <f t="shared" si="2"/>
        <v>4.5749524383902229E-2</v>
      </c>
      <c r="J11" s="37">
        <f t="shared" si="2"/>
        <v>3.6526354053884949E-2</v>
      </c>
      <c r="K11" s="38">
        <f t="shared" si="2"/>
        <v>4.6543226434939751E-2</v>
      </c>
      <c r="L11" s="328"/>
      <c r="M11" s="328"/>
      <c r="N11" s="328"/>
      <c r="O11" s="328"/>
      <c r="P11" s="328"/>
      <c r="Q11" s="328"/>
      <c r="R11" s="328"/>
      <c r="S11" s="328"/>
      <c r="T11" s="328"/>
      <c r="U11" s="328"/>
    </row>
    <row r="12" spans="1:24" outlineLevel="1" x14ac:dyDescent="0.25"/>
    <row r="13" spans="1:24" outlineLevel="1" x14ac:dyDescent="0.25">
      <c r="C13" s="329" t="s">
        <v>1121</v>
      </c>
      <c r="D13" s="330">
        <f>MIN(D11:K11)</f>
        <v>2.8190334495316025E-2</v>
      </c>
      <c r="E13" s="2"/>
      <c r="F13" s="2"/>
      <c r="G13" s="2"/>
      <c r="H13" s="2"/>
      <c r="I13" s="2"/>
      <c r="J13" s="2"/>
      <c r="K13" s="2"/>
      <c r="L13" s="2"/>
      <c r="M13" s="2"/>
      <c r="N13" s="2"/>
      <c r="O13" s="2"/>
      <c r="P13" s="2"/>
      <c r="Q13" s="2"/>
      <c r="R13" s="2"/>
      <c r="S13" s="1"/>
      <c r="T13" s="1"/>
      <c r="U13" s="1"/>
    </row>
    <row r="14" spans="1:24" ht="15.75" outlineLevel="1" thickBot="1" x14ac:dyDescent="0.3">
      <c r="C14" s="329" t="s">
        <v>1122</v>
      </c>
      <c r="D14" s="330">
        <f>MAX(D11:K11)</f>
        <v>4.6543226434939751E-2</v>
      </c>
      <c r="E14" s="2"/>
      <c r="F14" s="2"/>
      <c r="G14" s="2"/>
      <c r="H14" s="2"/>
      <c r="I14" s="331">
        <f>LEFT(K8,4)+1</f>
        <v>2016</v>
      </c>
      <c r="J14" s="332">
        <f t="shared" ref="J14:R14" si="3">I14+1</f>
        <v>2017</v>
      </c>
      <c r="K14" s="332">
        <f t="shared" si="3"/>
        <v>2018</v>
      </c>
      <c r="L14" s="332">
        <f t="shared" si="3"/>
        <v>2019</v>
      </c>
      <c r="M14" s="332">
        <f t="shared" si="3"/>
        <v>2020</v>
      </c>
      <c r="N14" s="332">
        <f t="shared" si="3"/>
        <v>2021</v>
      </c>
      <c r="O14" s="332">
        <f t="shared" si="3"/>
        <v>2022</v>
      </c>
      <c r="P14" s="332">
        <f t="shared" si="3"/>
        <v>2023</v>
      </c>
      <c r="Q14" s="332">
        <f t="shared" si="3"/>
        <v>2024</v>
      </c>
      <c r="R14" s="332">
        <f t="shared" si="3"/>
        <v>2025</v>
      </c>
      <c r="S14" s="333" t="s">
        <v>267</v>
      </c>
      <c r="T14" s="1"/>
      <c r="U14" s="1"/>
    </row>
    <row r="15" spans="1:24" ht="15.75" outlineLevel="1" thickBot="1" x14ac:dyDescent="0.3">
      <c r="C15" s="329" t="s">
        <v>1123</v>
      </c>
      <c r="D15" s="330">
        <f>AVERAGE(D11:K11)</f>
        <v>3.880157655228049E-2</v>
      </c>
      <c r="E15" s="2"/>
      <c r="F15" s="2"/>
      <c r="G15" s="2093" t="s">
        <v>1006</v>
      </c>
      <c r="H15" s="44" t="s">
        <v>1120</v>
      </c>
      <c r="I15" s="334">
        <f>K11</f>
        <v>4.6543226434939751E-2</v>
      </c>
      <c r="J15" s="335">
        <f>I15</f>
        <v>4.6543226434939751E-2</v>
      </c>
      <c r="K15" s="335">
        <f>J15</f>
        <v>4.6543226434939751E-2</v>
      </c>
      <c r="L15" s="335">
        <f>K15</f>
        <v>4.6543226434939751E-2</v>
      </c>
      <c r="M15" s="335">
        <f>L15</f>
        <v>4.6543226434939751E-2</v>
      </c>
      <c r="N15" s="335">
        <f>M15-($M$15-$R$15)/5</f>
        <v>4.2543409046886242E-2</v>
      </c>
      <c r="O15" s="335">
        <f>N15-($M$15-$R$15)/5</f>
        <v>3.8543591658832733E-2</v>
      </c>
      <c r="P15" s="335">
        <f>O15-($M$15-$R$15)/5</f>
        <v>3.4543774270779225E-2</v>
      </c>
      <c r="Q15" s="335">
        <f>P15-($M$15-$R$15)/5</f>
        <v>3.0543956882725713E-2</v>
      </c>
      <c r="R15" s="335">
        <f>+R70</f>
        <v>2.6544139494672193E-2</v>
      </c>
      <c r="S15" s="1516"/>
      <c r="T15" s="2109" t="s">
        <v>278</v>
      </c>
      <c r="U15" s="2110"/>
    </row>
    <row r="16" spans="1:24" ht="15.75" outlineLevel="1" thickBot="1" x14ac:dyDescent="0.3">
      <c r="C16" s="329" t="s">
        <v>1124</v>
      </c>
      <c r="D16" s="330">
        <f>MEDIAN(D11:K11)</f>
        <v>3.914672706745656E-2</v>
      </c>
      <c r="E16" s="2"/>
      <c r="F16" s="2"/>
      <c r="G16" s="2094"/>
      <c r="H16" s="227" t="s">
        <v>1119</v>
      </c>
      <c r="I16" s="336">
        <f>I15*L10</f>
        <v>739.47582661315744</v>
      </c>
      <c r="J16" s="337">
        <f t="shared" ref="J16:R16" si="4">J15*M10</f>
        <v>821.83939037188236</v>
      </c>
      <c r="K16" s="337">
        <f t="shared" si="4"/>
        <v>905.01785054867173</v>
      </c>
      <c r="L16" s="337">
        <f t="shared" si="4"/>
        <v>996.80869818149699</v>
      </c>
      <c r="M16" s="337">
        <f t="shared" si="4"/>
        <v>1098.1212466351228</v>
      </c>
      <c r="N16" s="337">
        <f t="shared" si="4"/>
        <v>1103.5299166607413</v>
      </c>
      <c r="O16" s="337">
        <f t="shared" si="4"/>
        <v>1082.3491093148211</v>
      </c>
      <c r="P16" s="337">
        <f t="shared" si="4"/>
        <v>1043.6963440669895</v>
      </c>
      <c r="Q16" s="337">
        <f t="shared" si="4"/>
        <v>986.58863268824996</v>
      </c>
      <c r="R16" s="337">
        <f t="shared" si="4"/>
        <v>916.67234309658386</v>
      </c>
      <c r="S16" s="338"/>
      <c r="T16" s="1"/>
      <c r="U16" s="1"/>
    </row>
    <row r="17" spans="2:26" outlineLevel="1" x14ac:dyDescent="0.25">
      <c r="C17" s="329" t="s">
        <v>1125</v>
      </c>
      <c r="D17" s="330">
        <f>SUMPRODUCT(D11:K11,D7:K7)/SUM(D7:K7)</f>
        <v>4.0960843905258733E-2</v>
      </c>
      <c r="E17" s="2"/>
      <c r="F17" s="2"/>
      <c r="G17" s="2"/>
      <c r="H17" s="2"/>
      <c r="I17" s="2"/>
      <c r="J17" s="2"/>
      <c r="K17" s="2"/>
      <c r="L17" s="2"/>
      <c r="M17" s="2"/>
      <c r="N17" s="2"/>
      <c r="O17" s="2"/>
      <c r="P17" s="2"/>
      <c r="Q17" s="2"/>
      <c r="R17" s="2"/>
      <c r="S17" s="1"/>
      <c r="T17" s="1"/>
      <c r="U17" s="1"/>
    </row>
    <row r="18" spans="2:26" ht="15.75" outlineLevel="1" thickBot="1" x14ac:dyDescent="0.3"/>
    <row r="19" spans="2:26" s="319" customFormat="1" ht="19.5" outlineLevel="1" thickBot="1" x14ac:dyDescent="0.35">
      <c r="B19" s="1280" t="s">
        <v>265</v>
      </c>
      <c r="C19" s="1281" t="s">
        <v>1151</v>
      </c>
      <c r="D19" s="1282"/>
      <c r="E19" s="1282"/>
      <c r="F19" s="1282"/>
      <c r="G19" s="1283"/>
      <c r="H19" s="1284"/>
      <c r="I19" s="1285"/>
      <c r="J19" s="1285"/>
      <c r="K19" s="1285"/>
      <c r="L19" s="1286"/>
      <c r="M19" s="1286"/>
      <c r="N19" s="1286"/>
      <c r="O19" s="1286"/>
      <c r="P19" s="1286"/>
      <c r="Q19" s="1286"/>
      <c r="R19" s="1286"/>
      <c r="S19" s="1286"/>
      <c r="T19" s="1286"/>
      <c r="U19" s="1287"/>
    </row>
    <row r="20" spans="2:26" outlineLevel="1" x14ac:dyDescent="0.25"/>
    <row r="21" spans="2:26" ht="15.75" outlineLevel="1" thickBot="1" x14ac:dyDescent="0.3">
      <c r="C21" s="2"/>
      <c r="D21" s="2"/>
      <c r="E21" s="339">
        <f>I14</f>
        <v>2016</v>
      </c>
      <c r="F21" s="339">
        <f t="shared" ref="F21:N21" si="5">J14</f>
        <v>2017</v>
      </c>
      <c r="G21" s="339">
        <f t="shared" si="5"/>
        <v>2018</v>
      </c>
      <c r="H21" s="339">
        <f t="shared" si="5"/>
        <v>2019</v>
      </c>
      <c r="I21" s="339">
        <f t="shared" si="5"/>
        <v>2020</v>
      </c>
      <c r="J21" s="339">
        <f t="shared" si="5"/>
        <v>2021</v>
      </c>
      <c r="K21" s="339">
        <f t="shared" si="5"/>
        <v>2022</v>
      </c>
      <c r="L21" s="339">
        <f t="shared" si="5"/>
        <v>2023</v>
      </c>
      <c r="M21" s="339">
        <f t="shared" si="5"/>
        <v>2024</v>
      </c>
      <c r="N21" s="339">
        <f t="shared" si="5"/>
        <v>2025</v>
      </c>
      <c r="O21" s="333" t="s">
        <v>267</v>
      </c>
      <c r="P21" s="1"/>
      <c r="Q21" s="1"/>
    </row>
    <row r="22" spans="2:26" ht="15.75" outlineLevel="1" thickBot="1" x14ac:dyDescent="0.3">
      <c r="C22" s="2093" t="s">
        <v>1006</v>
      </c>
      <c r="D22" s="44" t="s">
        <v>1119</v>
      </c>
      <c r="E22" s="340">
        <f>I16</f>
        <v>739.47582661315744</v>
      </c>
      <c r="F22" s="341">
        <f t="shared" ref="F22:N22" si="6">J16</f>
        <v>821.83939037188236</v>
      </c>
      <c r="G22" s="341">
        <f t="shared" si="6"/>
        <v>905.01785054867173</v>
      </c>
      <c r="H22" s="341">
        <f t="shared" si="6"/>
        <v>996.80869818149699</v>
      </c>
      <c r="I22" s="341">
        <f t="shared" si="6"/>
        <v>1098.1212466351228</v>
      </c>
      <c r="J22" s="341">
        <f t="shared" si="6"/>
        <v>1103.5299166607413</v>
      </c>
      <c r="K22" s="341">
        <f t="shared" si="6"/>
        <v>1082.3491093148211</v>
      </c>
      <c r="L22" s="341">
        <f t="shared" si="6"/>
        <v>1043.6963440669895</v>
      </c>
      <c r="M22" s="341">
        <f t="shared" si="6"/>
        <v>986.58863268824996</v>
      </c>
      <c r="N22" s="341">
        <f t="shared" si="6"/>
        <v>916.67234309658386</v>
      </c>
      <c r="O22" s="1516"/>
      <c r="P22" s="2109" t="s">
        <v>285</v>
      </c>
      <c r="Q22" s="2110"/>
    </row>
    <row r="23" spans="2:26" ht="15.75" outlineLevel="1" thickBot="1" x14ac:dyDescent="0.3">
      <c r="C23" s="2094"/>
      <c r="D23" s="227" t="s">
        <v>1120</v>
      </c>
      <c r="E23" s="342">
        <f>E22/L10</f>
        <v>4.6543226434939751E-2</v>
      </c>
      <c r="F23" s="343">
        <f t="shared" ref="F23:N23" si="7">F22/M10</f>
        <v>4.6543226434939751E-2</v>
      </c>
      <c r="G23" s="343">
        <f t="shared" si="7"/>
        <v>4.6543226434939751E-2</v>
      </c>
      <c r="H23" s="343">
        <f t="shared" si="7"/>
        <v>4.6543226434939751E-2</v>
      </c>
      <c r="I23" s="343">
        <f t="shared" si="7"/>
        <v>4.6543226434939744E-2</v>
      </c>
      <c r="J23" s="343">
        <f t="shared" si="7"/>
        <v>4.2543409046886242E-2</v>
      </c>
      <c r="K23" s="343">
        <f t="shared" si="7"/>
        <v>3.8543591658832733E-2</v>
      </c>
      <c r="L23" s="343">
        <f t="shared" si="7"/>
        <v>3.4543774270779225E-2</v>
      </c>
      <c r="M23" s="343">
        <f t="shared" si="7"/>
        <v>3.0543956882725713E-2</v>
      </c>
      <c r="N23" s="343">
        <f t="shared" si="7"/>
        <v>2.6544139494672193E-2</v>
      </c>
      <c r="O23" s="338"/>
      <c r="P23" s="1"/>
      <c r="Q23" s="1"/>
    </row>
    <row r="24" spans="2:26" ht="15.75" outlineLevel="1" thickBot="1" x14ac:dyDescent="0.3"/>
    <row r="25" spans="2:26" s="319" customFormat="1" ht="19.5" outlineLevel="1" thickBot="1" x14ac:dyDescent="0.35">
      <c r="B25" s="1280" t="s">
        <v>282</v>
      </c>
      <c r="C25" s="1281" t="s">
        <v>1149</v>
      </c>
      <c r="D25" s="1282"/>
      <c r="E25" s="1282"/>
      <c r="F25" s="1282"/>
      <c r="G25" s="1283"/>
      <c r="H25" s="1284"/>
      <c r="I25" s="1285"/>
      <c r="J25" s="1285"/>
      <c r="K25" s="1285"/>
      <c r="L25" s="1286"/>
      <c r="M25" s="1286"/>
      <c r="N25" s="1286"/>
      <c r="O25" s="1286"/>
      <c r="P25" s="1286"/>
      <c r="Q25" s="1286"/>
      <c r="R25" s="1286"/>
      <c r="S25" s="1286"/>
      <c r="T25" s="1286"/>
      <c r="U25" s="1287"/>
    </row>
    <row r="26" spans="2:26" s="319" customFormat="1" ht="18.75" outlineLevel="1" x14ac:dyDescent="0.3">
      <c r="D26" s="322">
        <v>1</v>
      </c>
      <c r="E26" s="322">
        <f>D26+1</f>
        <v>2</v>
      </c>
      <c r="F26" s="322">
        <f t="shared" ref="F26" si="8">E26+1</f>
        <v>3</v>
      </c>
      <c r="G26" s="322">
        <f t="shared" ref="G26" si="9">F26+1</f>
        <v>4</v>
      </c>
      <c r="H26" s="322">
        <f t="shared" ref="H26" si="10">G26+1</f>
        <v>5</v>
      </c>
      <c r="I26" s="322">
        <f t="shared" ref="I26" si="11">H26+1</f>
        <v>6</v>
      </c>
      <c r="J26" s="322">
        <f t="shared" ref="J26" si="12">I26+1</f>
        <v>7</v>
      </c>
      <c r="K26" s="322">
        <f t="shared" ref="K26" si="13">J26+1</f>
        <v>8</v>
      </c>
    </row>
    <row r="27" spans="2:26" ht="15.75" outlineLevel="1" thickBot="1" x14ac:dyDescent="0.3">
      <c r="C27" s="324"/>
      <c r="D27" s="1288" t="str">
        <f>+D8</f>
        <v>2008/12</v>
      </c>
      <c r="E27" s="16" t="str">
        <f t="shared" ref="E27:U27" si="14">+E8</f>
        <v>2009/12</v>
      </c>
      <c r="F27" s="16" t="str">
        <f t="shared" si="14"/>
        <v>2010/12</v>
      </c>
      <c r="G27" s="16" t="str">
        <f t="shared" si="14"/>
        <v>2011/12</v>
      </c>
      <c r="H27" s="16" t="str">
        <f t="shared" si="14"/>
        <v>2012/12</v>
      </c>
      <c r="I27" s="16" t="str">
        <f t="shared" si="14"/>
        <v>2013/12</v>
      </c>
      <c r="J27" s="16" t="str">
        <f t="shared" si="14"/>
        <v>2014/12</v>
      </c>
      <c r="K27" s="325" t="str">
        <f t="shared" si="14"/>
        <v>2015/12</v>
      </c>
      <c r="L27" s="19">
        <f t="shared" si="14"/>
        <v>2016</v>
      </c>
      <c r="M27" s="20">
        <f t="shared" si="14"/>
        <v>2017</v>
      </c>
      <c r="N27" s="20">
        <f t="shared" si="14"/>
        <v>2018</v>
      </c>
      <c r="O27" s="20">
        <f t="shared" si="14"/>
        <v>2019</v>
      </c>
      <c r="P27" s="20">
        <f t="shared" si="14"/>
        <v>2020</v>
      </c>
      <c r="Q27" s="20">
        <f t="shared" si="14"/>
        <v>2021</v>
      </c>
      <c r="R27" s="20">
        <f t="shared" si="14"/>
        <v>2022</v>
      </c>
      <c r="S27" s="20">
        <f t="shared" si="14"/>
        <v>2023</v>
      </c>
      <c r="T27" s="20">
        <f t="shared" si="14"/>
        <v>2024</v>
      </c>
      <c r="U27" s="21">
        <f t="shared" si="14"/>
        <v>2025</v>
      </c>
    </row>
    <row r="28" spans="2:26" outlineLevel="1" x14ac:dyDescent="0.25">
      <c r="C28" s="22" t="s">
        <v>1137</v>
      </c>
      <c r="D28" s="23">
        <f>+OMali!C12+OMali!C13</f>
        <v>1674.548</v>
      </c>
      <c r="E28" s="24">
        <f>+OMali!D12+OMali!D13</f>
        <v>1684.1019999999999</v>
      </c>
      <c r="F28" s="24">
        <f>+OMali!E12+OMali!E13</f>
        <v>1713.6619999999998</v>
      </c>
      <c r="G28" s="24">
        <f>+OMali!F12+OMali!F13</f>
        <v>2229.9349999999999</v>
      </c>
      <c r="H28" s="24">
        <f>+OMali!G12+OMali!G13</f>
        <v>2391.0039999999999</v>
      </c>
      <c r="I28" s="24">
        <f>+OMali!H12+OMali!H13</f>
        <v>2895.7629999999999</v>
      </c>
      <c r="J28" s="24">
        <f>+OMali!I12+OMali!I13</f>
        <v>2903.9409999999998</v>
      </c>
      <c r="K28" s="25">
        <f>+OMali!J12+OMali!J13</f>
        <v>3226.6050000000005</v>
      </c>
      <c r="L28" s="326"/>
      <c r="M28" s="287"/>
      <c r="N28" s="327"/>
      <c r="O28" s="327"/>
      <c r="P28" s="327"/>
      <c r="Q28" s="327"/>
      <c r="R28" s="327"/>
      <c r="S28" s="327"/>
      <c r="T28" s="327"/>
      <c r="U28" s="327"/>
    </row>
    <row r="29" spans="2:26" outlineLevel="1" x14ac:dyDescent="0.25">
      <c r="C29" s="29" t="s">
        <v>238</v>
      </c>
      <c r="D29" s="30">
        <f>+D10</f>
        <v>6775.5379999999996</v>
      </c>
      <c r="E29" s="31">
        <f t="shared" ref="E29:K29" si="15">+E10</f>
        <v>6591.8950000000004</v>
      </c>
      <c r="F29" s="31">
        <f t="shared" si="15"/>
        <v>6936.42</v>
      </c>
      <c r="G29" s="31">
        <f t="shared" si="15"/>
        <v>8437.2389999999996</v>
      </c>
      <c r="H29" s="31">
        <f t="shared" si="15"/>
        <v>10556.861000000001</v>
      </c>
      <c r="I29" s="31">
        <f t="shared" si="15"/>
        <v>11097.710999999999</v>
      </c>
      <c r="J29" s="31">
        <f t="shared" si="15"/>
        <v>12514.032999999999</v>
      </c>
      <c r="K29" s="32">
        <f t="shared" si="15"/>
        <v>14166.1</v>
      </c>
      <c r="L29" s="33">
        <f>+L10</f>
        <v>15887.936510951396</v>
      </c>
      <c r="M29" s="33">
        <f t="shared" ref="M29:U29" si="16">+M10</f>
        <v>17657.550911746246</v>
      </c>
      <c r="N29" s="33">
        <f t="shared" si="16"/>
        <v>19444.673690891348</v>
      </c>
      <c r="O29" s="33">
        <f t="shared" si="16"/>
        <v>21416.837089600605</v>
      </c>
      <c r="P29" s="33">
        <f t="shared" si="16"/>
        <v>23593.578072421064</v>
      </c>
      <c r="Q29" s="33">
        <f t="shared" si="16"/>
        <v>25938.916071454521</v>
      </c>
      <c r="R29" s="33">
        <f t="shared" si="16"/>
        <v>28081.168950086354</v>
      </c>
      <c r="S29" s="33">
        <f t="shared" si="16"/>
        <v>30213.732173147568</v>
      </c>
      <c r="T29" s="33">
        <f t="shared" si="16"/>
        <v>32300.616337178635</v>
      </c>
      <c r="U29" s="33">
        <f t="shared" si="16"/>
        <v>34533.888102892684</v>
      </c>
      <c r="Z29" s="4" t="s">
        <v>1808</v>
      </c>
    </row>
    <row r="30" spans="2:26" outlineLevel="1" x14ac:dyDescent="0.25">
      <c r="C30" s="35" t="s">
        <v>1138</v>
      </c>
      <c r="D30" s="36">
        <f>D28/D29</f>
        <v>0.24714613068364463</v>
      </c>
      <c r="E30" s="37">
        <f t="shared" ref="E30:K30" si="17">E28/E29</f>
        <v>0.25548070774792375</v>
      </c>
      <c r="F30" s="37">
        <f t="shared" si="17"/>
        <v>0.24705280245429195</v>
      </c>
      <c r="G30" s="37">
        <f t="shared" si="17"/>
        <v>0.26429676817262143</v>
      </c>
      <c r="H30" s="37">
        <f t="shared" si="17"/>
        <v>0.22648815779614789</v>
      </c>
      <c r="I30" s="37">
        <f t="shared" si="17"/>
        <v>0.26093335823937025</v>
      </c>
      <c r="J30" s="37">
        <f t="shared" si="17"/>
        <v>0.2320547660374557</v>
      </c>
      <c r="K30" s="38">
        <f t="shared" si="17"/>
        <v>0.22776946371972528</v>
      </c>
      <c r="L30" s="328"/>
      <c r="M30" s="328"/>
      <c r="N30" s="328"/>
      <c r="O30" s="328"/>
      <c r="P30" s="328"/>
      <c r="Q30" s="328"/>
      <c r="R30" s="328"/>
      <c r="S30" s="328"/>
      <c r="T30" s="328"/>
      <c r="U30" s="328"/>
    </row>
    <row r="31" spans="2:26" outlineLevel="1" x14ac:dyDescent="0.25"/>
    <row r="32" spans="2:26" outlineLevel="1" x14ac:dyDescent="0.25">
      <c r="C32" s="329" t="s">
        <v>1121</v>
      </c>
      <c r="D32" s="330">
        <f>MIN(D30:K30)</f>
        <v>0.22648815779614789</v>
      </c>
      <c r="E32" s="2"/>
      <c r="F32" s="2"/>
      <c r="G32" s="2"/>
      <c r="H32" s="2"/>
      <c r="I32" s="2"/>
      <c r="J32" s="2"/>
      <c r="K32" s="2"/>
      <c r="L32" s="2"/>
      <c r="M32" s="2"/>
      <c r="N32" s="2"/>
      <c r="O32" s="2"/>
      <c r="P32" s="2"/>
      <c r="Q32" s="2"/>
      <c r="R32" s="2"/>
      <c r="S32" s="1"/>
      <c r="T32" s="1"/>
      <c r="U32" s="1"/>
      <c r="Z32" s="4" t="s">
        <v>1809</v>
      </c>
    </row>
    <row r="33" spans="2:21" ht="15.75" outlineLevel="1" thickBot="1" x14ac:dyDescent="0.3">
      <c r="C33" s="329" t="s">
        <v>1122</v>
      </c>
      <c r="D33" s="330">
        <f>MAX(D30:K30)</f>
        <v>0.26429676817262143</v>
      </c>
      <c r="E33" s="2"/>
      <c r="F33" s="2"/>
      <c r="G33" s="2"/>
      <c r="H33" s="2"/>
      <c r="I33" s="331">
        <f>LEFT(K27,4)+1</f>
        <v>2016</v>
      </c>
      <c r="J33" s="332">
        <f t="shared" ref="J33" si="18">I33+1</f>
        <v>2017</v>
      </c>
      <c r="K33" s="332">
        <f t="shared" ref="K33" si="19">J33+1</f>
        <v>2018</v>
      </c>
      <c r="L33" s="332">
        <f t="shared" ref="L33" si="20">K33+1</f>
        <v>2019</v>
      </c>
      <c r="M33" s="332">
        <f t="shared" ref="M33" si="21">L33+1</f>
        <v>2020</v>
      </c>
      <c r="N33" s="332">
        <f t="shared" ref="N33" si="22">M33+1</f>
        <v>2021</v>
      </c>
      <c r="O33" s="332">
        <f t="shared" ref="O33" si="23">N33+1</f>
        <v>2022</v>
      </c>
      <c r="P33" s="332">
        <f t="shared" ref="P33" si="24">O33+1</f>
        <v>2023</v>
      </c>
      <c r="Q33" s="332">
        <f t="shared" ref="Q33" si="25">P33+1</f>
        <v>2024</v>
      </c>
      <c r="R33" s="332">
        <f t="shared" ref="R33" si="26">Q33+1</f>
        <v>2025</v>
      </c>
      <c r="S33" s="333" t="s">
        <v>267</v>
      </c>
      <c r="T33" s="1"/>
      <c r="U33" s="1"/>
    </row>
    <row r="34" spans="2:21" ht="15.75" outlineLevel="1" thickBot="1" x14ac:dyDescent="0.3">
      <c r="C34" s="329" t="s">
        <v>1123</v>
      </c>
      <c r="D34" s="330">
        <f>AVERAGE(D30:K30)</f>
        <v>0.24515276935639763</v>
      </c>
      <c r="E34" s="2"/>
      <c r="F34" s="2"/>
      <c r="G34" s="2093" t="s">
        <v>1006</v>
      </c>
      <c r="H34" s="44" t="s">
        <v>1139</v>
      </c>
      <c r="I34" s="334">
        <f>K30</f>
        <v>0.22776946371972528</v>
      </c>
      <c r="J34" s="335">
        <f>I34</f>
        <v>0.22776946371972528</v>
      </c>
      <c r="K34" s="335">
        <f>J34</f>
        <v>0.22776946371972528</v>
      </c>
      <c r="L34" s="335">
        <f>K34</f>
        <v>0.22776946371972528</v>
      </c>
      <c r="M34" s="335">
        <f>L34</f>
        <v>0.22776946371972528</v>
      </c>
      <c r="N34" s="335">
        <f>M34-($M$34-$R$34)/5</f>
        <v>0.22776946371972528</v>
      </c>
      <c r="O34" s="335">
        <f t="shared" ref="O34:Q34" si="27">N34-($M$34-$R$34)/5</f>
        <v>0.22776946371972528</v>
      </c>
      <c r="P34" s="335">
        <f t="shared" si="27"/>
        <v>0.22776946371972528</v>
      </c>
      <c r="Q34" s="335">
        <f t="shared" si="27"/>
        <v>0.22776946371972528</v>
      </c>
      <c r="R34" s="335">
        <f>+I34</f>
        <v>0.22776946371972528</v>
      </c>
      <c r="S34" s="1516"/>
      <c r="T34" s="2109" t="s">
        <v>278</v>
      </c>
      <c r="U34" s="2110"/>
    </row>
    <row r="35" spans="2:21" outlineLevel="1" x14ac:dyDescent="0.25">
      <c r="C35" s="329" t="s">
        <v>1124</v>
      </c>
      <c r="D35" s="330">
        <f>MEDIAN(D30:K30)</f>
        <v>0.24709946656896831</v>
      </c>
      <c r="E35" s="2"/>
      <c r="F35" s="2"/>
      <c r="G35" s="2094"/>
      <c r="H35" s="227" t="s">
        <v>1140</v>
      </c>
      <c r="I35" s="1519">
        <f>I34*L29</f>
        <v>3618.7867787124428</v>
      </c>
      <c r="J35" s="237">
        <f t="shared" ref="J35" si="28">J34*M29</f>
        <v>4021.8509017721885</v>
      </c>
      <c r="K35" s="237">
        <f t="shared" ref="K35" si="29">K34*N29</f>
        <v>4428.9028987793736</v>
      </c>
      <c r="L35" s="237">
        <f t="shared" ref="L35" si="30">L34*O29</f>
        <v>4878.1014984710519</v>
      </c>
      <c r="M35" s="237">
        <f t="shared" ref="M35" si="31">M34*P29</f>
        <v>5373.8966247848157</v>
      </c>
      <c r="N35" s="237">
        <f t="shared" ref="N35" si="32">N34*Q29</f>
        <v>5908.0930030661593</v>
      </c>
      <c r="O35" s="237">
        <f t="shared" ref="O35" si="33">O34*R29</f>
        <v>6396.0327923841696</v>
      </c>
      <c r="P35" s="237">
        <f t="shared" ref="P35" si="34">P34*S29</f>
        <v>6881.7655740492319</v>
      </c>
      <c r="Q35" s="237">
        <f t="shared" ref="Q35" si="35">Q34*T29</f>
        <v>7357.0940609357749</v>
      </c>
      <c r="R35" s="237">
        <f t="shared" ref="R35" si="36">R34*U29</f>
        <v>7865.7651733528683</v>
      </c>
      <c r="S35" s="1520"/>
      <c r="T35" s="1"/>
      <c r="U35" s="1"/>
    </row>
    <row r="36" spans="2:21" ht="15.75" outlineLevel="1" thickBot="1" x14ac:dyDescent="0.3">
      <c r="C36" s="329" t="s">
        <v>1125</v>
      </c>
      <c r="D36" s="330">
        <f>SUMPRODUCT(D30:K30,D26:K26)/SUM(D26:K26)</f>
        <v>0.24169536212971682</v>
      </c>
      <c r="E36" s="2"/>
      <c r="F36" s="2"/>
      <c r="G36" s="2"/>
      <c r="H36" s="227" t="s">
        <v>1119</v>
      </c>
      <c r="I36" s="1517">
        <f>+I35-K28+E99</f>
        <v>846.76109955913967</v>
      </c>
      <c r="J36" s="234">
        <f t="shared" ref="J36:R36" si="37">+J35-I35+F99</f>
        <v>899.73760191215251</v>
      </c>
      <c r="K36" s="234">
        <f t="shared" si="37"/>
        <v>950.52858332822461</v>
      </c>
      <c r="L36" s="234">
        <f t="shared" si="37"/>
        <v>1044.6346423467189</v>
      </c>
      <c r="M36" s="234">
        <f t="shared" si="37"/>
        <v>1148.8473166508188</v>
      </c>
      <c r="N36" s="234">
        <f t="shared" si="37"/>
        <v>1230.7937504338888</v>
      </c>
      <c r="O36" s="234">
        <f t="shared" si="37"/>
        <v>1219.6488500513701</v>
      </c>
      <c r="P36" s="234">
        <f t="shared" si="37"/>
        <v>1243.3751602467628</v>
      </c>
      <c r="Q36" s="234">
        <f t="shared" si="37"/>
        <v>1249.0024520149116</v>
      </c>
      <c r="R36" s="234">
        <f t="shared" si="37"/>
        <v>1288.4885655929024</v>
      </c>
      <c r="S36" s="1518"/>
      <c r="T36" s="1"/>
      <c r="U36" s="1"/>
    </row>
    <row r="37" spans="2:21" s="319" customFormat="1" ht="19.5" thickBot="1" x14ac:dyDescent="0.35">
      <c r="B37" s="1280" t="s">
        <v>297</v>
      </c>
      <c r="C37" s="1281" t="s">
        <v>1202</v>
      </c>
      <c r="D37" s="1282"/>
      <c r="E37" s="1282"/>
      <c r="F37" s="1282"/>
      <c r="G37" s="1283"/>
      <c r="H37" s="1284"/>
      <c r="I37" s="1285"/>
      <c r="J37" s="1285"/>
      <c r="K37" s="1285"/>
      <c r="L37" s="1286"/>
      <c r="M37" s="1286"/>
      <c r="N37" s="1286"/>
      <c r="O37" s="1286"/>
      <c r="P37" s="1286"/>
      <c r="Q37" s="1286"/>
      <c r="R37" s="1286"/>
      <c r="S37" s="1286"/>
      <c r="T37" s="1286"/>
      <c r="U37" s="1287"/>
    </row>
    <row r="38" spans="2:21" ht="7.15" customHeight="1" x14ac:dyDescent="0.25"/>
    <row r="39" spans="2:21" ht="15.75" thickBot="1" x14ac:dyDescent="0.3">
      <c r="C39" s="72" t="s">
        <v>384</v>
      </c>
      <c r="D39" s="344" t="s">
        <v>298</v>
      </c>
      <c r="E39" s="345">
        <f>E21</f>
        <v>2016</v>
      </c>
      <c r="F39" s="346">
        <f>E39+1</f>
        <v>2017</v>
      </c>
      <c r="G39" s="346">
        <f t="shared" ref="G39:N39" si="38">F39+1</f>
        <v>2018</v>
      </c>
      <c r="H39" s="346">
        <f t="shared" si="38"/>
        <v>2019</v>
      </c>
      <c r="I39" s="346">
        <f t="shared" si="38"/>
        <v>2020</v>
      </c>
      <c r="J39" s="346">
        <f t="shared" si="38"/>
        <v>2021</v>
      </c>
      <c r="K39" s="346">
        <f t="shared" si="38"/>
        <v>2022</v>
      </c>
      <c r="L39" s="346">
        <f t="shared" si="38"/>
        <v>2023</v>
      </c>
      <c r="M39" s="346">
        <f t="shared" si="38"/>
        <v>2024</v>
      </c>
      <c r="N39" s="347">
        <f t="shared" si="38"/>
        <v>2025</v>
      </c>
    </row>
    <row r="40" spans="2:21" x14ac:dyDescent="0.25">
      <c r="B40" s="348">
        <v>1</v>
      </c>
      <c r="C40" s="349" t="s">
        <v>1147</v>
      </c>
      <c r="D40" s="350">
        <f>K9</f>
        <v>659.33600000000001</v>
      </c>
      <c r="E40" s="351">
        <f t="shared" ref="E40:N40" si="39">I16</f>
        <v>739.47582661315744</v>
      </c>
      <c r="F40" s="351">
        <f t="shared" si="39"/>
        <v>821.83939037188236</v>
      </c>
      <c r="G40" s="351">
        <f t="shared" si="39"/>
        <v>905.01785054867173</v>
      </c>
      <c r="H40" s="351">
        <f t="shared" si="39"/>
        <v>996.80869818149699</v>
      </c>
      <c r="I40" s="351">
        <f t="shared" si="39"/>
        <v>1098.1212466351228</v>
      </c>
      <c r="J40" s="351">
        <f t="shared" si="39"/>
        <v>1103.5299166607413</v>
      </c>
      <c r="K40" s="351">
        <f t="shared" si="39"/>
        <v>1082.3491093148211</v>
      </c>
      <c r="L40" s="351">
        <f t="shared" si="39"/>
        <v>1043.6963440669895</v>
      </c>
      <c r="M40" s="351">
        <f t="shared" si="39"/>
        <v>986.58863268824996</v>
      </c>
      <c r="N40" s="352">
        <f t="shared" si="39"/>
        <v>916.67234309658386</v>
      </c>
    </row>
    <row r="41" spans="2:21" x14ac:dyDescent="0.25">
      <c r="B41" s="353">
        <v>2</v>
      </c>
      <c r="C41" s="354" t="s">
        <v>1148</v>
      </c>
      <c r="D41" s="355">
        <f>D40</f>
        <v>659.33600000000001</v>
      </c>
      <c r="E41" s="356">
        <f t="shared" ref="E41:N41" si="40">E22</f>
        <v>739.47582661315744</v>
      </c>
      <c r="F41" s="356">
        <f t="shared" si="40"/>
        <v>821.83939037188236</v>
      </c>
      <c r="G41" s="356">
        <f t="shared" si="40"/>
        <v>905.01785054867173</v>
      </c>
      <c r="H41" s="356">
        <f t="shared" si="40"/>
        <v>996.80869818149699</v>
      </c>
      <c r="I41" s="356">
        <f t="shared" si="40"/>
        <v>1098.1212466351228</v>
      </c>
      <c r="J41" s="356">
        <f t="shared" si="40"/>
        <v>1103.5299166607413</v>
      </c>
      <c r="K41" s="356">
        <f t="shared" si="40"/>
        <v>1082.3491093148211</v>
      </c>
      <c r="L41" s="356">
        <f t="shared" si="40"/>
        <v>1043.6963440669895</v>
      </c>
      <c r="M41" s="356">
        <f t="shared" si="40"/>
        <v>986.58863268824996</v>
      </c>
      <c r="N41" s="352">
        <f t="shared" si="40"/>
        <v>916.67234309658386</v>
      </c>
    </row>
    <row r="42" spans="2:21" x14ac:dyDescent="0.25">
      <c r="B42" s="353">
        <v>3</v>
      </c>
      <c r="C42" s="357" t="s">
        <v>1150</v>
      </c>
      <c r="D42" s="358">
        <f>D41</f>
        <v>659.33600000000001</v>
      </c>
      <c r="E42" s="359">
        <f>+I36</f>
        <v>846.76109955913967</v>
      </c>
      <c r="F42" s="359">
        <f t="shared" ref="F42:N42" si="41">+J36</f>
        <v>899.73760191215251</v>
      </c>
      <c r="G42" s="359">
        <f t="shared" si="41"/>
        <v>950.52858332822461</v>
      </c>
      <c r="H42" s="359">
        <f t="shared" si="41"/>
        <v>1044.6346423467189</v>
      </c>
      <c r="I42" s="359">
        <f t="shared" si="41"/>
        <v>1148.8473166508188</v>
      </c>
      <c r="J42" s="359">
        <f t="shared" si="41"/>
        <v>1230.7937504338888</v>
      </c>
      <c r="K42" s="359">
        <f t="shared" si="41"/>
        <v>1219.6488500513701</v>
      </c>
      <c r="L42" s="359">
        <f t="shared" si="41"/>
        <v>1243.3751602467628</v>
      </c>
      <c r="M42" s="359">
        <f t="shared" si="41"/>
        <v>1249.0024520149116</v>
      </c>
      <c r="N42" s="360">
        <f t="shared" si="41"/>
        <v>1288.4885655929024</v>
      </c>
    </row>
    <row r="43" spans="2:21" ht="14.25" customHeight="1" x14ac:dyDescent="0.25"/>
    <row r="44" spans="2:21" x14ac:dyDescent="0.25">
      <c r="C44" s="40" t="s">
        <v>1152</v>
      </c>
      <c r="D44" s="361">
        <v>1</v>
      </c>
      <c r="E44" s="362">
        <f>IF($D$44=1,E40,IF($D$44=2,E41,E42))</f>
        <v>739.47582661315744</v>
      </c>
      <c r="F44" s="362">
        <f t="shared" ref="F44:N44" si="42">IF($D$44=1,F40,IF($D$44=2,F41,F42))</f>
        <v>821.83939037188236</v>
      </c>
      <c r="G44" s="362">
        <f t="shared" si="42"/>
        <v>905.01785054867173</v>
      </c>
      <c r="H44" s="362">
        <f t="shared" si="42"/>
        <v>996.80869818149699</v>
      </c>
      <c r="I44" s="362">
        <f t="shared" si="42"/>
        <v>1098.1212466351228</v>
      </c>
      <c r="J44" s="362">
        <f t="shared" si="42"/>
        <v>1103.5299166607413</v>
      </c>
      <c r="K44" s="362">
        <f t="shared" si="42"/>
        <v>1082.3491093148211</v>
      </c>
      <c r="L44" s="362">
        <f t="shared" si="42"/>
        <v>1043.6963440669895</v>
      </c>
      <c r="M44" s="362">
        <f t="shared" si="42"/>
        <v>986.58863268824996</v>
      </c>
      <c r="N44" s="363">
        <f t="shared" si="42"/>
        <v>916.67234309658386</v>
      </c>
    </row>
    <row r="46" spans="2:21" ht="20.25" customHeight="1" thickBot="1" x14ac:dyDescent="0.4">
      <c r="B46" s="320"/>
      <c r="C46" s="1262" t="s">
        <v>223</v>
      </c>
      <c r="D46" s="1263"/>
      <c r="E46" s="1263"/>
      <c r="F46" s="1263"/>
      <c r="G46" s="1263"/>
      <c r="H46" s="1263"/>
      <c r="I46" s="1263"/>
      <c r="J46" s="1263"/>
      <c r="K46" s="1263"/>
      <c r="L46" s="1264"/>
      <c r="M46" s="1264"/>
      <c r="N46" s="1264"/>
      <c r="O46" s="1265"/>
      <c r="P46" s="1266"/>
      <c r="Q46" s="1265"/>
      <c r="R46" s="1265"/>
      <c r="S46" s="1266"/>
      <c r="T46" s="1266"/>
      <c r="U46" s="1267"/>
    </row>
    <row r="47" spans="2:21" ht="9.75" customHeight="1" thickTop="1" thickBot="1" x14ac:dyDescent="0.3"/>
    <row r="48" spans="2:21" s="319" customFormat="1" ht="19.5" outlineLevel="1" thickBot="1" x14ac:dyDescent="0.35">
      <c r="B48" s="1280" t="s">
        <v>251</v>
      </c>
      <c r="C48" s="1281" t="s">
        <v>1144</v>
      </c>
      <c r="D48" s="1282"/>
      <c r="E48" s="1282"/>
      <c r="F48" s="1282"/>
      <c r="G48" s="1283"/>
      <c r="H48" s="1284"/>
      <c r="I48" s="1285"/>
      <c r="J48" s="1285"/>
      <c r="K48" s="1285"/>
      <c r="L48" s="1286"/>
      <c r="M48" s="1286"/>
      <c r="N48" s="1286"/>
      <c r="O48" s="1286"/>
      <c r="P48" s="1286"/>
      <c r="Q48" s="1286"/>
      <c r="R48" s="1286"/>
      <c r="S48" s="1286"/>
      <c r="T48" s="1286"/>
      <c r="U48" s="1287"/>
    </row>
    <row r="49" spans="2:21" ht="18.75" outlineLevel="1" x14ac:dyDescent="0.3">
      <c r="B49" s="321"/>
      <c r="C49" s="321"/>
      <c r="D49" s="322">
        <v>1</v>
      </c>
      <c r="E49" s="322">
        <f>D49+1</f>
        <v>2</v>
      </c>
      <c r="F49" s="322">
        <f t="shared" ref="F49:K49" si="43">E49+1</f>
        <v>3</v>
      </c>
      <c r="G49" s="322">
        <f t="shared" si="43"/>
        <v>4</v>
      </c>
      <c r="H49" s="322">
        <f t="shared" si="43"/>
        <v>5</v>
      </c>
      <c r="I49" s="322">
        <f t="shared" si="43"/>
        <v>6</v>
      </c>
      <c r="J49" s="322">
        <f t="shared" si="43"/>
        <v>7</v>
      </c>
      <c r="K49" s="322">
        <f t="shared" si="43"/>
        <v>8</v>
      </c>
      <c r="L49" s="323"/>
      <c r="M49" s="323"/>
      <c r="N49" s="323"/>
      <c r="O49" s="323"/>
      <c r="P49" s="323"/>
      <c r="Q49" s="323"/>
      <c r="R49" s="323"/>
      <c r="S49" s="323"/>
      <c r="T49" s="323"/>
      <c r="U49" s="323"/>
    </row>
    <row r="50" spans="2:21" ht="15.75" outlineLevel="1" thickBot="1" x14ac:dyDescent="0.3">
      <c r="C50" s="324"/>
      <c r="D50" s="15" t="str">
        <f>(Mali!C3)</f>
        <v>2008/12</v>
      </c>
      <c r="E50" s="16" t="str">
        <f>(Mali!D3)</f>
        <v>2009/12</v>
      </c>
      <c r="F50" s="16" t="str">
        <f>(Mali!E3)</f>
        <v>2010/12</v>
      </c>
      <c r="G50" s="16" t="str">
        <f>(Mali!F3)</f>
        <v>2011/12</v>
      </c>
      <c r="H50" s="16" t="str">
        <f>(Mali!G3)</f>
        <v>2012/12</v>
      </c>
      <c r="I50" s="16" t="str">
        <f>(Mali!H3)</f>
        <v>2013/12</v>
      </c>
      <c r="J50" s="16" t="str">
        <f>(Mali!I3)</f>
        <v>2014/12</v>
      </c>
      <c r="K50" s="325" t="str">
        <f>(Mali!J3)</f>
        <v>2015/12</v>
      </c>
      <c r="L50" s="19">
        <f>LEFT(K50,4)+1</f>
        <v>2016</v>
      </c>
      <c r="M50" s="20">
        <f t="shared" ref="M50:U50" si="44">L50+1</f>
        <v>2017</v>
      </c>
      <c r="N50" s="20">
        <f t="shared" si="44"/>
        <v>2018</v>
      </c>
      <c r="O50" s="20">
        <f t="shared" si="44"/>
        <v>2019</v>
      </c>
      <c r="P50" s="20">
        <f t="shared" si="44"/>
        <v>2020</v>
      </c>
      <c r="Q50" s="20">
        <f t="shared" si="44"/>
        <v>2021</v>
      </c>
      <c r="R50" s="20">
        <f t="shared" si="44"/>
        <v>2022</v>
      </c>
      <c r="S50" s="20">
        <f t="shared" si="44"/>
        <v>2023</v>
      </c>
      <c r="T50" s="20">
        <f t="shared" si="44"/>
        <v>2024</v>
      </c>
      <c r="U50" s="21">
        <f t="shared" si="44"/>
        <v>2025</v>
      </c>
    </row>
    <row r="51" spans="2:21" outlineLevel="1" x14ac:dyDescent="0.25">
      <c r="C51" s="22" t="s">
        <v>918</v>
      </c>
      <c r="D51" s="23">
        <f>Mali!C18+Mali!C19</f>
        <v>1674.548</v>
      </c>
      <c r="E51" s="24">
        <f>Mali!D18+Mali!D19</f>
        <v>1684.1019999999999</v>
      </c>
      <c r="F51" s="24">
        <f>Mali!E18+Mali!E19</f>
        <v>1713.6619999999998</v>
      </c>
      <c r="G51" s="24">
        <f>Mali!F18+Mali!F19</f>
        <v>2229.9349999999999</v>
      </c>
      <c r="H51" s="24">
        <f>Mali!G18+Mali!G19</f>
        <v>2391.0039999999999</v>
      </c>
      <c r="I51" s="24">
        <f>Mali!H18+Mali!H19</f>
        <v>2895.7629999999999</v>
      </c>
      <c r="J51" s="24">
        <f>Mali!I18+Mali!I19</f>
        <v>2903.9409999999998</v>
      </c>
      <c r="K51" s="25">
        <f>Mali!J18+Mali!J19</f>
        <v>3226.6050000000005</v>
      </c>
      <c r="L51" s="326">
        <f>K51+E44</f>
        <v>3966.080826613158</v>
      </c>
      <c r="M51" s="287">
        <f t="shared" ref="M51:U51" si="45">L51-I58+F44</f>
        <v>4333.3408961383429</v>
      </c>
      <c r="N51" s="287">
        <f t="shared" si="45"/>
        <v>4741.6852678346077</v>
      </c>
      <c r="O51" s="287">
        <f t="shared" si="45"/>
        <v>5195.0173796950648</v>
      </c>
      <c r="P51" s="287">
        <f t="shared" si="45"/>
        <v>5697.7025836751463</v>
      </c>
      <c r="Q51" s="287">
        <f t="shared" si="45"/>
        <v>6148.1803099988329</v>
      </c>
      <c r="R51" s="287">
        <f t="shared" si="45"/>
        <v>6533.932047161109</v>
      </c>
      <c r="S51" s="287">
        <f t="shared" si="45"/>
        <v>6845.9193304947385</v>
      </c>
      <c r="T51" s="287">
        <f t="shared" si="45"/>
        <v>7074.865584601288</v>
      </c>
      <c r="U51" s="287">
        <f t="shared" si="45"/>
        <v>7217.8639625695032</v>
      </c>
    </row>
    <row r="52" spans="2:21" outlineLevel="1" x14ac:dyDescent="0.25">
      <c r="C52" s="29" t="s">
        <v>385</v>
      </c>
      <c r="D52" s="30">
        <f>+UFRS!C228/1000000</f>
        <v>166.09</v>
      </c>
      <c r="E52" s="31">
        <f>+UFRS!D228/1000000</f>
        <v>181.553</v>
      </c>
      <c r="F52" s="31">
        <f>+UFRS!E228/1000000</f>
        <v>192.53800000000001</v>
      </c>
      <c r="G52" s="31">
        <f>+UFRS!F228/1000000</f>
        <v>217.834</v>
      </c>
      <c r="H52" s="31">
        <f>+UFRS!G228/1000000</f>
        <v>260.78800000000001</v>
      </c>
      <c r="I52" s="31">
        <f>+UFRS!H228/1000000</f>
        <v>302.18099999999998</v>
      </c>
      <c r="J52" s="31">
        <f>+UFRS!I228/1000000</f>
        <v>346.29300000000001</v>
      </c>
      <c r="K52" s="32">
        <f>+UFRS!J228/1000000</f>
        <v>369.82299999999998</v>
      </c>
      <c r="L52" s="364">
        <f>Sales!E192</f>
        <v>0</v>
      </c>
      <c r="M52" s="365">
        <f>Sales!F192</f>
        <v>0</v>
      </c>
      <c r="N52" s="365">
        <f>Sales!G192</f>
        <v>0</v>
      </c>
      <c r="O52" s="365">
        <f>Sales!H192</f>
        <v>0</v>
      </c>
      <c r="P52" s="365">
        <f>Sales!I192</f>
        <v>0</v>
      </c>
      <c r="Q52" s="365">
        <f>Sales!J192</f>
        <v>0</v>
      </c>
      <c r="R52" s="365">
        <f>Sales!K192</f>
        <v>0</v>
      </c>
      <c r="S52" s="365">
        <f>Sales!L192</f>
        <v>0</v>
      </c>
      <c r="T52" s="365">
        <f>Sales!M192</f>
        <v>0</v>
      </c>
      <c r="U52" s="365">
        <f>Sales!N192</f>
        <v>0</v>
      </c>
    </row>
    <row r="53" spans="2:21" outlineLevel="1" x14ac:dyDescent="0.25">
      <c r="C53" s="35" t="s">
        <v>386</v>
      </c>
      <c r="D53" s="36">
        <f>D52/D51</f>
        <v>9.9184974094501915E-2</v>
      </c>
      <c r="E53" s="37">
        <f t="shared" ref="E53:K53" si="46">E52/E51</f>
        <v>0.10780404037285153</v>
      </c>
      <c r="F53" s="37">
        <f t="shared" si="46"/>
        <v>0.1123547117226151</v>
      </c>
      <c r="G53" s="37">
        <f t="shared" si="46"/>
        <v>9.7686255428969901E-2</v>
      </c>
      <c r="H53" s="37">
        <f t="shared" si="46"/>
        <v>0.1090704992547064</v>
      </c>
      <c r="I53" s="37">
        <f t="shared" si="46"/>
        <v>0.10435280787826905</v>
      </c>
      <c r="J53" s="37">
        <f t="shared" si="46"/>
        <v>0.11924932359162946</v>
      </c>
      <c r="K53" s="38">
        <f t="shared" si="46"/>
        <v>0.11461675662189823</v>
      </c>
      <c r="L53" s="328"/>
      <c r="M53" s="328"/>
      <c r="N53" s="328"/>
      <c r="O53" s="328"/>
      <c r="P53" s="328"/>
      <c r="Q53" s="328"/>
      <c r="R53" s="328"/>
      <c r="S53" s="328"/>
      <c r="T53" s="328"/>
      <c r="U53" s="328"/>
    </row>
    <row r="54" spans="2:21" outlineLevel="1" x14ac:dyDescent="0.25"/>
    <row r="55" spans="2:21" outlineLevel="1" x14ac:dyDescent="0.25">
      <c r="C55" s="329" t="s">
        <v>388</v>
      </c>
      <c r="D55" s="330">
        <f>MIN(D53:K53)</f>
        <v>9.7686255428969901E-2</v>
      </c>
      <c r="E55" s="2"/>
      <c r="F55" s="2"/>
      <c r="G55" s="2"/>
      <c r="H55" s="2"/>
      <c r="I55" s="2"/>
      <c r="J55" s="2"/>
      <c r="K55" s="2"/>
      <c r="L55" s="2"/>
      <c r="M55" s="2"/>
      <c r="N55" s="2"/>
      <c r="O55" s="2"/>
      <c r="P55" s="2"/>
      <c r="Q55" s="2"/>
      <c r="R55" s="2"/>
      <c r="S55" s="1"/>
      <c r="T55" s="1"/>
      <c r="U55" s="1"/>
    </row>
    <row r="56" spans="2:21" ht="15.75" outlineLevel="1" thickBot="1" x14ac:dyDescent="0.3">
      <c r="C56" s="329" t="s">
        <v>389</v>
      </c>
      <c r="D56" s="330">
        <f>MAX(D53:K53)</f>
        <v>0.11924932359162946</v>
      </c>
      <c r="E56" s="2"/>
      <c r="F56" s="2"/>
      <c r="G56" s="2"/>
      <c r="H56" s="2"/>
      <c r="I56" s="331">
        <f>LEFT(K50,4)+1</f>
        <v>2016</v>
      </c>
      <c r="J56" s="332">
        <f>I56+1</f>
        <v>2017</v>
      </c>
      <c r="K56" s="332">
        <f t="shared" ref="K56:R56" si="47">J56+1</f>
        <v>2018</v>
      </c>
      <c r="L56" s="332">
        <f t="shared" si="47"/>
        <v>2019</v>
      </c>
      <c r="M56" s="332">
        <f t="shared" si="47"/>
        <v>2020</v>
      </c>
      <c r="N56" s="332">
        <f t="shared" si="47"/>
        <v>2021</v>
      </c>
      <c r="O56" s="332">
        <f t="shared" si="47"/>
        <v>2022</v>
      </c>
      <c r="P56" s="332">
        <f t="shared" si="47"/>
        <v>2023</v>
      </c>
      <c r="Q56" s="332">
        <f t="shared" si="47"/>
        <v>2024</v>
      </c>
      <c r="R56" s="332">
        <f t="shared" si="47"/>
        <v>2025</v>
      </c>
      <c r="S56" s="333" t="s">
        <v>267</v>
      </c>
      <c r="T56" s="1"/>
      <c r="U56" s="1"/>
    </row>
    <row r="57" spans="2:21" ht="15.75" outlineLevel="1" thickBot="1" x14ac:dyDescent="0.3">
      <c r="C57" s="329" t="s">
        <v>390</v>
      </c>
      <c r="D57" s="330">
        <f>AVERAGE(D53:K53)</f>
        <v>0.10803992112068019</v>
      </c>
      <c r="E57" s="2"/>
      <c r="F57" s="2"/>
      <c r="G57" s="2093" t="s">
        <v>1006</v>
      </c>
      <c r="H57" s="44" t="s">
        <v>386</v>
      </c>
      <c r="I57" s="334">
        <f>K53</f>
        <v>0.11461675662189823</v>
      </c>
      <c r="J57" s="335">
        <f>I57</f>
        <v>0.11461675662189823</v>
      </c>
      <c r="K57" s="335">
        <f>J57</f>
        <v>0.11461675662189823</v>
      </c>
      <c r="L57" s="335">
        <f>K57</f>
        <v>0.11461675662189823</v>
      </c>
      <c r="M57" s="335">
        <f>L57</f>
        <v>0.11461675662189823</v>
      </c>
      <c r="N57" s="335">
        <f>M57-($M$57-$R$57)/5</f>
        <v>0.11330138952165462</v>
      </c>
      <c r="O57" s="335">
        <f>N57-($M$57-$R$57)/5</f>
        <v>0.11198602242141102</v>
      </c>
      <c r="P57" s="335">
        <f>O57-($M$57-$R$57)/5</f>
        <v>0.11067065532116742</v>
      </c>
      <c r="Q57" s="335">
        <f>P57-($M$57-$R$57)/5</f>
        <v>0.10935528822092382</v>
      </c>
      <c r="R57" s="335">
        <f>D57</f>
        <v>0.10803992112068019</v>
      </c>
      <c r="S57" s="1516"/>
      <c r="T57" s="2109" t="s">
        <v>278</v>
      </c>
      <c r="U57" s="2110"/>
    </row>
    <row r="58" spans="2:21" ht="15.75" outlineLevel="1" thickBot="1" x14ac:dyDescent="0.3">
      <c r="C58" s="329" t="s">
        <v>391</v>
      </c>
      <c r="D58" s="330">
        <f>MEDIAN(D53:K53)</f>
        <v>0.10843726981377896</v>
      </c>
      <c r="E58" s="2"/>
      <c r="F58" s="2"/>
      <c r="G58" s="2094"/>
      <c r="H58" s="227" t="s">
        <v>393</v>
      </c>
      <c r="I58" s="336">
        <f>I57*L51</f>
        <v>454.57932084669727</v>
      </c>
      <c r="J58" s="337">
        <f t="shared" ref="J58:R58" si="48">J57*M51</f>
        <v>496.67347885240684</v>
      </c>
      <c r="K58" s="337">
        <f t="shared" si="48"/>
        <v>543.47658632103958</v>
      </c>
      <c r="L58" s="337">
        <f t="shared" si="48"/>
        <v>595.43604265504075</v>
      </c>
      <c r="M58" s="337">
        <f t="shared" si="48"/>
        <v>653.05219033705498</v>
      </c>
      <c r="N58" s="337">
        <f t="shared" si="48"/>
        <v>696.59737215254506</v>
      </c>
      <c r="O58" s="337">
        <f t="shared" si="48"/>
        <v>731.70906073335993</v>
      </c>
      <c r="P58" s="337">
        <f t="shared" si="48"/>
        <v>757.64237858170043</v>
      </c>
      <c r="Q58" s="337">
        <f t="shared" si="48"/>
        <v>773.67396512836854</v>
      </c>
      <c r="R58" s="337">
        <f t="shared" si="48"/>
        <v>779.81745317580919</v>
      </c>
      <c r="S58" s="338"/>
      <c r="T58" s="1"/>
      <c r="U58" s="1"/>
    </row>
    <row r="59" spans="2:21" outlineLevel="1" x14ac:dyDescent="0.25">
      <c r="C59" s="329" t="s">
        <v>392</v>
      </c>
      <c r="D59" s="330">
        <f>SUMPRODUCT(D53:K53,D49:K49)/SUM(D49:K49)</f>
        <v>0.11015974648287967</v>
      </c>
      <c r="E59" s="2"/>
      <c r="F59" s="2"/>
      <c r="G59" s="2"/>
      <c r="H59" s="2"/>
      <c r="I59" s="2"/>
      <c r="J59" s="2"/>
      <c r="K59" s="2"/>
      <c r="L59" s="2"/>
      <c r="M59" s="2"/>
      <c r="N59" s="2"/>
      <c r="O59" s="2"/>
      <c r="P59" s="2"/>
      <c r="Q59" s="2"/>
      <c r="R59" s="2"/>
      <c r="S59" s="1"/>
      <c r="T59" s="1"/>
      <c r="U59" s="1"/>
    </row>
    <row r="60" spans="2:21" ht="15.75" outlineLevel="1" thickBot="1" x14ac:dyDescent="0.3">
      <c r="C60" s="2"/>
      <c r="D60" s="2"/>
      <c r="E60" s="2"/>
      <c r="F60" s="2"/>
      <c r="G60" s="2"/>
      <c r="H60" s="2"/>
      <c r="I60" s="2"/>
      <c r="J60" s="2"/>
      <c r="K60" s="2"/>
      <c r="L60" s="2"/>
      <c r="M60" s="2"/>
      <c r="N60" s="2"/>
      <c r="O60" s="2"/>
      <c r="P60" s="2"/>
      <c r="Q60" s="2"/>
      <c r="R60" s="2"/>
      <c r="S60" s="1"/>
      <c r="T60" s="1"/>
      <c r="U60" s="1"/>
    </row>
    <row r="61" spans="2:21" s="319" customFormat="1" ht="19.5" outlineLevel="1" thickBot="1" x14ac:dyDescent="0.35">
      <c r="B61" s="1280" t="s">
        <v>265</v>
      </c>
      <c r="C61" s="1281" t="s">
        <v>1145</v>
      </c>
      <c r="D61" s="1282"/>
      <c r="E61" s="1282"/>
      <c r="F61" s="1282"/>
      <c r="G61" s="1283"/>
      <c r="H61" s="1284"/>
      <c r="I61" s="1285"/>
      <c r="J61" s="1285"/>
      <c r="K61" s="1285"/>
      <c r="L61" s="1286"/>
      <c r="M61" s="1286"/>
      <c r="N61" s="1286"/>
      <c r="O61" s="1286"/>
      <c r="P61" s="1286"/>
      <c r="Q61" s="1286"/>
      <c r="R61" s="1286"/>
      <c r="S61" s="1286"/>
      <c r="T61" s="1286"/>
      <c r="U61" s="1287"/>
    </row>
    <row r="62" spans="2:21" outlineLevel="1" x14ac:dyDescent="0.25">
      <c r="D62" s="322">
        <v>1</v>
      </c>
      <c r="E62" s="322">
        <f>D62+1</f>
        <v>2</v>
      </c>
      <c r="F62" s="322">
        <f t="shared" ref="F62:K62" si="49">E62+1</f>
        <v>3</v>
      </c>
      <c r="G62" s="322">
        <f t="shared" si="49"/>
        <v>4</v>
      </c>
      <c r="H62" s="322">
        <f t="shared" si="49"/>
        <v>5</v>
      </c>
      <c r="I62" s="322">
        <f t="shared" si="49"/>
        <v>6</v>
      </c>
      <c r="J62" s="322">
        <f t="shared" si="49"/>
        <v>7</v>
      </c>
      <c r="K62" s="322">
        <f t="shared" si="49"/>
        <v>8</v>
      </c>
    </row>
    <row r="63" spans="2:21" ht="15.75" outlineLevel="1" thickBot="1" x14ac:dyDescent="0.3">
      <c r="C63" s="366"/>
      <c r="D63" s="367" t="str">
        <f>D50</f>
        <v>2008/12</v>
      </c>
      <c r="E63" s="368" t="str">
        <f t="shared" ref="E63:K63" si="50">E50</f>
        <v>2009/12</v>
      </c>
      <c r="F63" s="368" t="str">
        <f t="shared" si="50"/>
        <v>2010/12</v>
      </c>
      <c r="G63" s="368" t="str">
        <f t="shared" si="50"/>
        <v>2011/12</v>
      </c>
      <c r="H63" s="368" t="str">
        <f t="shared" si="50"/>
        <v>2012/12</v>
      </c>
      <c r="I63" s="368" t="str">
        <f t="shared" si="50"/>
        <v>2013/12</v>
      </c>
      <c r="J63" s="368" t="str">
        <f t="shared" si="50"/>
        <v>2014/12</v>
      </c>
      <c r="K63" s="369" t="str">
        <f t="shared" si="50"/>
        <v>2015/12</v>
      </c>
      <c r="L63" s="19">
        <f>LEFT(K63,4)+1</f>
        <v>2016</v>
      </c>
      <c r="M63" s="20">
        <f t="shared" ref="M63:U63" si="51">L63+1</f>
        <v>2017</v>
      </c>
      <c r="N63" s="20">
        <f t="shared" si="51"/>
        <v>2018</v>
      </c>
      <c r="O63" s="20">
        <f t="shared" si="51"/>
        <v>2019</v>
      </c>
      <c r="P63" s="20">
        <f t="shared" si="51"/>
        <v>2020</v>
      </c>
      <c r="Q63" s="20">
        <f t="shared" si="51"/>
        <v>2021</v>
      </c>
      <c r="R63" s="20">
        <f t="shared" si="51"/>
        <v>2022</v>
      </c>
      <c r="S63" s="20">
        <f t="shared" si="51"/>
        <v>2023</v>
      </c>
      <c r="T63" s="20">
        <f t="shared" si="51"/>
        <v>2024</v>
      </c>
      <c r="U63" s="21">
        <f t="shared" si="51"/>
        <v>2025</v>
      </c>
    </row>
    <row r="64" spans="2:21" outlineLevel="1" x14ac:dyDescent="0.25">
      <c r="C64" s="22" t="s">
        <v>230</v>
      </c>
      <c r="D64" s="68">
        <f>Mali!C56</f>
        <v>6775.5379999999996</v>
      </c>
      <c r="E64" s="5">
        <f>Mali!D56</f>
        <v>6591.8950000000004</v>
      </c>
      <c r="F64" s="5">
        <f>Mali!E56</f>
        <v>6936.42</v>
      </c>
      <c r="G64" s="5">
        <f>Mali!F56</f>
        <v>8437.2389999999996</v>
      </c>
      <c r="H64" s="5">
        <f>Mali!G56</f>
        <v>10556.861000000001</v>
      </c>
      <c r="I64" s="5">
        <f>Mali!H56</f>
        <v>11097.710999999999</v>
      </c>
      <c r="J64" s="5">
        <f>Mali!I56</f>
        <v>12514.032999999999</v>
      </c>
      <c r="K64" s="69">
        <f>Mali!J56</f>
        <v>14166.1</v>
      </c>
      <c r="L64" s="370">
        <f>Sales!E154</f>
        <v>15887.936510951396</v>
      </c>
      <c r="M64" s="370">
        <f>Sales!F154</f>
        <v>17657.550911746246</v>
      </c>
      <c r="N64" s="370">
        <f>Sales!G154</f>
        <v>19444.673690891348</v>
      </c>
      <c r="O64" s="370">
        <f>Sales!H154</f>
        <v>21416.837089600605</v>
      </c>
      <c r="P64" s="370">
        <f>Sales!I154</f>
        <v>23593.578072421064</v>
      </c>
      <c r="Q64" s="370">
        <f>Sales!J154</f>
        <v>25938.916071454521</v>
      </c>
      <c r="R64" s="370">
        <f>Sales!K154</f>
        <v>28081.168950086354</v>
      </c>
      <c r="S64" s="370">
        <f>Sales!L154</f>
        <v>30213.732173147568</v>
      </c>
      <c r="T64" s="370">
        <f>Sales!M154</f>
        <v>32300.616337178635</v>
      </c>
      <c r="U64" s="370">
        <f>Sales!N154</f>
        <v>34533.888102892684</v>
      </c>
    </row>
    <row r="65" spans="2:23" outlineLevel="1" x14ac:dyDescent="0.25">
      <c r="C65" s="29" t="s">
        <v>385</v>
      </c>
      <c r="D65" s="371">
        <f>+D52</f>
        <v>166.09</v>
      </c>
      <c r="E65" s="372">
        <f t="shared" ref="E65:K65" si="52">+E52</f>
        <v>181.553</v>
      </c>
      <c r="F65" s="372">
        <f t="shared" si="52"/>
        <v>192.53800000000001</v>
      </c>
      <c r="G65" s="372">
        <f t="shared" si="52"/>
        <v>217.834</v>
      </c>
      <c r="H65" s="372">
        <f t="shared" si="52"/>
        <v>260.78800000000001</v>
      </c>
      <c r="I65" s="372">
        <f t="shared" si="52"/>
        <v>302.18099999999998</v>
      </c>
      <c r="J65" s="372">
        <f t="shared" si="52"/>
        <v>346.29300000000001</v>
      </c>
      <c r="K65" s="373">
        <f t="shared" si="52"/>
        <v>369.82299999999998</v>
      </c>
      <c r="L65" s="364">
        <f>Sales!E205</f>
        <v>0</v>
      </c>
      <c r="M65" s="365">
        <f>Sales!F205</f>
        <v>0</v>
      </c>
      <c r="N65" s="365">
        <f>Sales!G205</f>
        <v>0</v>
      </c>
      <c r="O65" s="365">
        <f>Sales!H205</f>
        <v>0</v>
      </c>
      <c r="P65" s="365">
        <f>Sales!I205</f>
        <v>0</v>
      </c>
      <c r="Q65" s="365">
        <f>Sales!J205</f>
        <v>0</v>
      </c>
      <c r="R65" s="365">
        <f>Sales!K205</f>
        <v>0</v>
      </c>
      <c r="S65" s="365">
        <f>Sales!L205</f>
        <v>0</v>
      </c>
      <c r="T65" s="365">
        <f>Sales!M205</f>
        <v>0</v>
      </c>
      <c r="U65" s="365">
        <f>Sales!N205</f>
        <v>0</v>
      </c>
    </row>
    <row r="66" spans="2:23" outlineLevel="1" x14ac:dyDescent="0.25">
      <c r="C66" s="29" t="s">
        <v>387</v>
      </c>
      <c r="D66" s="374">
        <f t="shared" ref="D66:K66" si="53">D65/D64</f>
        <v>2.4513182569413677E-2</v>
      </c>
      <c r="E66" s="375">
        <f t="shared" si="53"/>
        <v>2.7541852532541853E-2</v>
      </c>
      <c r="F66" s="375">
        <f t="shared" si="53"/>
        <v>2.775754640001615E-2</v>
      </c>
      <c r="G66" s="375">
        <f t="shared" si="53"/>
        <v>2.5818161604761938E-2</v>
      </c>
      <c r="H66" s="375">
        <f t="shared" si="53"/>
        <v>2.4703176446104574E-2</v>
      </c>
      <c r="I66" s="375">
        <f t="shared" si="53"/>
        <v>2.7229128601384555E-2</v>
      </c>
      <c r="J66" s="375">
        <f t="shared" si="53"/>
        <v>2.7672373886180421E-2</v>
      </c>
      <c r="K66" s="376">
        <f t="shared" si="53"/>
        <v>2.6106197189064029E-2</v>
      </c>
      <c r="L66" s="328"/>
      <c r="M66" s="328"/>
      <c r="N66" s="328"/>
      <c r="O66" s="328"/>
      <c r="P66" s="328"/>
      <c r="Q66" s="328"/>
      <c r="R66" s="328"/>
      <c r="S66" s="328"/>
      <c r="T66" s="328"/>
      <c r="U66" s="328"/>
    </row>
    <row r="67" spans="2:23" outlineLevel="1" x14ac:dyDescent="0.25"/>
    <row r="68" spans="2:23" outlineLevel="1" x14ac:dyDescent="0.25">
      <c r="C68" s="329" t="s">
        <v>394</v>
      </c>
      <c r="D68" s="330">
        <f>MIN(D66:K66)</f>
        <v>2.4513182569413677E-2</v>
      </c>
    </row>
    <row r="69" spans="2:23" ht="15.75" outlineLevel="1" thickBot="1" x14ac:dyDescent="0.3">
      <c r="C69" s="329" t="s">
        <v>395</v>
      </c>
      <c r="D69" s="330">
        <f>MAX(D66:K66)</f>
        <v>2.775754640001615E-2</v>
      </c>
    </row>
    <row r="70" spans="2:23" ht="15.75" outlineLevel="1" thickBot="1" x14ac:dyDescent="0.3">
      <c r="C70" s="329" t="s">
        <v>396</v>
      </c>
      <c r="D70" s="330">
        <f>AVERAGE(D66:K66)</f>
        <v>2.64177024036834E-2</v>
      </c>
      <c r="G70" s="2093" t="s">
        <v>1006</v>
      </c>
      <c r="H70" s="44" t="s">
        <v>387</v>
      </c>
      <c r="I70" s="334">
        <f>K66</f>
        <v>2.6106197189064029E-2</v>
      </c>
      <c r="J70" s="335">
        <f>I70</f>
        <v>2.6106197189064029E-2</v>
      </c>
      <c r="K70" s="335">
        <f>J70</f>
        <v>2.6106197189064029E-2</v>
      </c>
      <c r="L70" s="335">
        <f>K70</f>
        <v>2.6106197189064029E-2</v>
      </c>
      <c r="M70" s="335">
        <f>L70</f>
        <v>2.6106197189064029E-2</v>
      </c>
      <c r="N70" s="335">
        <f>M70-($M$70-$R$70)/5</f>
        <v>2.6193785650185663E-2</v>
      </c>
      <c r="O70" s="335">
        <f>N70-($M$70-$R$70)/5</f>
        <v>2.6281374111307296E-2</v>
      </c>
      <c r="P70" s="335">
        <f>O70-($M$70-$R$70)/5</f>
        <v>2.636896257242893E-2</v>
      </c>
      <c r="Q70" s="335">
        <f>P70-($M$70-$R$70)/5</f>
        <v>2.6456551033550563E-2</v>
      </c>
      <c r="R70" s="335">
        <f>D72</f>
        <v>2.6544139494672193E-2</v>
      </c>
      <c r="S70" s="1516"/>
      <c r="T70" s="2109" t="s">
        <v>278</v>
      </c>
      <c r="U70" s="2110"/>
    </row>
    <row r="71" spans="2:23" ht="15.75" outlineLevel="1" thickBot="1" x14ac:dyDescent="0.3">
      <c r="C71" s="329" t="s">
        <v>397</v>
      </c>
      <c r="D71" s="330">
        <f>MEDIAN(D66:K66)</f>
        <v>2.6667662895224292E-2</v>
      </c>
      <c r="G71" s="2094"/>
      <c r="H71" s="227" t="s">
        <v>393</v>
      </c>
      <c r="I71" s="336">
        <f>I70*L64</f>
        <v>414.77360348222709</v>
      </c>
      <c r="J71" s="337">
        <f t="shared" ref="J71:R71" si="54">J70*M64</f>
        <v>460.97150597798486</v>
      </c>
      <c r="K71" s="337">
        <f t="shared" si="54"/>
        <v>507.62648565141501</v>
      </c>
      <c r="L71" s="337">
        <f t="shared" si="54"/>
        <v>559.11217222717357</v>
      </c>
      <c r="M71" s="337">
        <f t="shared" si="54"/>
        <v>615.93860155420145</v>
      </c>
      <c r="N71" s="337">
        <f t="shared" si="54"/>
        <v>679.43840757383566</v>
      </c>
      <c r="O71" s="337">
        <f t="shared" si="54"/>
        <v>738.01170666004577</v>
      </c>
      <c r="P71" s="337">
        <f t="shared" si="54"/>
        <v>796.70477284712001</v>
      </c>
      <c r="Q71" s="337">
        <f t="shared" si="54"/>
        <v>854.5629045397036</v>
      </c>
      <c r="R71" s="337">
        <f t="shared" si="54"/>
        <v>916.67234309658386</v>
      </c>
      <c r="S71" s="338"/>
      <c r="T71" s="1"/>
      <c r="U71" s="1"/>
    </row>
    <row r="72" spans="2:23" outlineLevel="1" x14ac:dyDescent="0.25">
      <c r="C72" s="329" t="s">
        <v>398</v>
      </c>
      <c r="D72" s="330">
        <f>SUMPRODUCT(D66:K66,D62:K62)/SUM(D62:K62)</f>
        <v>2.6544139494672193E-2</v>
      </c>
    </row>
    <row r="73" spans="2:23" ht="15.75" outlineLevel="1" thickBot="1" x14ac:dyDescent="0.3"/>
    <row r="74" spans="2:23" s="319" customFormat="1" ht="19.5" outlineLevel="1" thickBot="1" x14ac:dyDescent="0.35">
      <c r="B74" s="1280" t="s">
        <v>282</v>
      </c>
      <c r="C74" s="1281" t="s">
        <v>1126</v>
      </c>
      <c r="D74" s="1282"/>
      <c r="E74" s="1282"/>
      <c r="F74" s="1282"/>
      <c r="G74" s="1283"/>
      <c r="H74" s="1284"/>
      <c r="I74" s="1285"/>
      <c r="J74" s="1285"/>
      <c r="K74" s="1285"/>
      <c r="L74" s="1286"/>
      <c r="M74" s="1286"/>
      <c r="N74" s="1286"/>
      <c r="O74" s="1286"/>
      <c r="P74" s="1286"/>
      <c r="Q74" s="1286"/>
      <c r="R74" s="1286"/>
      <c r="S74" s="1286"/>
      <c r="T74" s="1286"/>
      <c r="U74" s="1287"/>
      <c r="W74" s="319" t="s">
        <v>1806</v>
      </c>
    </row>
    <row r="75" spans="2:23" outlineLevel="1" x14ac:dyDescent="0.25"/>
    <row r="76" spans="2:23" outlineLevel="1" x14ac:dyDescent="0.25">
      <c r="C76" s="1480" t="s">
        <v>1127</v>
      </c>
      <c r="D76" s="1481"/>
      <c r="E76" s="1482"/>
      <c r="F76" s="1483">
        <v>10</v>
      </c>
      <c r="G76" s="1510"/>
      <c r="H76" s="1481"/>
      <c r="I76" s="1481"/>
      <c r="J76" s="1481"/>
      <c r="K76" s="1481"/>
      <c r="L76" s="1481"/>
      <c r="M76" s="1510"/>
      <c r="N76" s="1510"/>
      <c r="O76" s="1510"/>
      <c r="P76" s="1510"/>
      <c r="Q76" s="1511"/>
    </row>
    <row r="77" spans="2:23" outlineLevel="1" x14ac:dyDescent="0.25">
      <c r="C77" s="1484"/>
      <c r="D77" s="1485"/>
      <c r="E77" s="1486"/>
      <c r="F77" s="1487"/>
      <c r="G77" s="1230"/>
      <c r="H77" s="1485"/>
      <c r="I77" s="1485"/>
      <c r="J77" s="1485"/>
      <c r="K77" s="1485"/>
      <c r="L77" s="1485"/>
      <c r="M77" s="1230"/>
      <c r="N77" s="1230"/>
      <c r="O77" s="1230"/>
      <c r="P77" s="1230"/>
      <c r="Q77" s="1512"/>
    </row>
    <row r="78" spans="2:23" outlineLevel="1" x14ac:dyDescent="0.25">
      <c r="C78" s="1493"/>
      <c r="D78" s="1494" t="s">
        <v>1128</v>
      </c>
      <c r="E78" s="1495"/>
      <c r="F78" s="1494" t="s">
        <v>1129</v>
      </c>
      <c r="G78" s="1495"/>
      <c r="H78" s="1500">
        <f>+L63</f>
        <v>2016</v>
      </c>
      <c r="I78" s="1500">
        <f t="shared" ref="I78:Q78" si="55">+M63</f>
        <v>2017</v>
      </c>
      <c r="J78" s="1500">
        <f t="shared" si="55"/>
        <v>2018</v>
      </c>
      <c r="K78" s="1500">
        <f t="shared" si="55"/>
        <v>2019</v>
      </c>
      <c r="L78" s="1500">
        <f t="shared" si="55"/>
        <v>2020</v>
      </c>
      <c r="M78" s="1500">
        <f t="shared" si="55"/>
        <v>2021</v>
      </c>
      <c r="N78" s="1500">
        <f t="shared" si="55"/>
        <v>2022</v>
      </c>
      <c r="O78" s="1500">
        <f t="shared" si="55"/>
        <v>2023</v>
      </c>
      <c r="P78" s="1500">
        <f t="shared" si="55"/>
        <v>2024</v>
      </c>
      <c r="Q78" s="1501">
        <f t="shared" si="55"/>
        <v>2025</v>
      </c>
    </row>
    <row r="79" spans="2:23" outlineLevel="1" x14ac:dyDescent="0.25">
      <c r="C79" s="1496">
        <f>+Web!D9+1</f>
        <v>2016</v>
      </c>
      <c r="D79" s="1488">
        <f t="array" ref="D79:D88">+TRANSPOSE(E44:N44)</f>
        <v>739.47582661315744</v>
      </c>
      <c r="E79" s="1489"/>
      <c r="F79" s="1497">
        <v>0</v>
      </c>
      <c r="G79" s="1489"/>
      <c r="H79" s="1498">
        <f>+(D79-F79)/$F$76</f>
        <v>73.947582661315749</v>
      </c>
      <c r="I79" s="1498">
        <f>+H79</f>
        <v>73.947582661315749</v>
      </c>
      <c r="J79" s="1498">
        <f t="shared" ref="J79:Q79" si="56">+I79</f>
        <v>73.947582661315749</v>
      </c>
      <c r="K79" s="1498">
        <f t="shared" si="56"/>
        <v>73.947582661315749</v>
      </c>
      <c r="L79" s="1498">
        <f t="shared" si="56"/>
        <v>73.947582661315749</v>
      </c>
      <c r="M79" s="71">
        <f t="shared" si="56"/>
        <v>73.947582661315749</v>
      </c>
      <c r="N79" s="71">
        <f t="shared" si="56"/>
        <v>73.947582661315749</v>
      </c>
      <c r="O79" s="71">
        <f t="shared" si="56"/>
        <v>73.947582661315749</v>
      </c>
      <c r="P79" s="71">
        <f t="shared" si="56"/>
        <v>73.947582661315749</v>
      </c>
      <c r="Q79" s="1505">
        <f t="shared" si="56"/>
        <v>73.947582661315749</v>
      </c>
    </row>
    <row r="80" spans="2:23" outlineLevel="1" x14ac:dyDescent="0.25">
      <c r="C80" s="1496">
        <f>+C79+1</f>
        <v>2017</v>
      </c>
      <c r="D80" s="1488">
        <v>821.83939037188236</v>
      </c>
      <c r="E80" s="1489"/>
      <c r="F80" s="1497">
        <v>0</v>
      </c>
      <c r="G80" s="1489"/>
      <c r="H80" s="99"/>
      <c r="I80" s="1498">
        <f>+(D80-F80)/$F$76</f>
        <v>82.183939037188239</v>
      </c>
      <c r="J80" s="1498">
        <f>+I80</f>
        <v>82.183939037188239</v>
      </c>
      <c r="K80" s="1498">
        <f t="shared" ref="K80:Q87" si="57">+J80</f>
        <v>82.183939037188239</v>
      </c>
      <c r="L80" s="1498">
        <f t="shared" si="57"/>
        <v>82.183939037188239</v>
      </c>
      <c r="M80" s="1498">
        <f t="shared" si="57"/>
        <v>82.183939037188239</v>
      </c>
      <c r="N80" s="1498">
        <f t="shared" si="57"/>
        <v>82.183939037188239</v>
      </c>
      <c r="O80" s="1498">
        <f t="shared" si="57"/>
        <v>82.183939037188239</v>
      </c>
      <c r="P80" s="1498">
        <f t="shared" si="57"/>
        <v>82.183939037188239</v>
      </c>
      <c r="Q80" s="1502">
        <f t="shared" si="57"/>
        <v>82.183939037188239</v>
      </c>
    </row>
    <row r="81" spans="2:21" outlineLevel="1" x14ac:dyDescent="0.25">
      <c r="C81" s="1496">
        <f t="shared" ref="C81:C88" si="58">+C80+1</f>
        <v>2018</v>
      </c>
      <c r="D81" s="1488">
        <v>905.01785054867173</v>
      </c>
      <c r="E81" s="1489"/>
      <c r="F81" s="1497">
        <v>0</v>
      </c>
      <c r="G81" s="1489"/>
      <c r="H81" s="99"/>
      <c r="I81" s="1498"/>
      <c r="J81" s="1498">
        <f>+(D81-F81)/$F$76</f>
        <v>90.50178505486717</v>
      </c>
      <c r="K81" s="1498">
        <f t="shared" si="57"/>
        <v>90.50178505486717</v>
      </c>
      <c r="L81" s="1498">
        <f t="shared" si="57"/>
        <v>90.50178505486717</v>
      </c>
      <c r="M81" s="1498">
        <f t="shared" si="57"/>
        <v>90.50178505486717</v>
      </c>
      <c r="N81" s="1498">
        <f t="shared" si="57"/>
        <v>90.50178505486717</v>
      </c>
      <c r="O81" s="1498">
        <f t="shared" si="57"/>
        <v>90.50178505486717</v>
      </c>
      <c r="P81" s="1498">
        <f t="shared" si="57"/>
        <v>90.50178505486717</v>
      </c>
      <c r="Q81" s="1502">
        <f t="shared" si="57"/>
        <v>90.50178505486717</v>
      </c>
    </row>
    <row r="82" spans="2:21" outlineLevel="1" x14ac:dyDescent="0.25">
      <c r="C82" s="1496">
        <f t="shared" si="58"/>
        <v>2019</v>
      </c>
      <c r="D82" s="1488">
        <v>996.80869818149699</v>
      </c>
      <c r="E82" s="1489"/>
      <c r="F82" s="1497">
        <v>0</v>
      </c>
      <c r="G82" s="1489"/>
      <c r="H82" s="99"/>
      <c r="I82" s="1498"/>
      <c r="J82" s="1498"/>
      <c r="K82" s="1498">
        <f>+(D82-F82)/$F$76</f>
        <v>99.680869818149702</v>
      </c>
      <c r="L82" s="1498">
        <f t="shared" si="57"/>
        <v>99.680869818149702</v>
      </c>
      <c r="M82" s="1498">
        <f t="shared" si="57"/>
        <v>99.680869818149702</v>
      </c>
      <c r="N82" s="1498">
        <f t="shared" si="57"/>
        <v>99.680869818149702</v>
      </c>
      <c r="O82" s="1498">
        <f t="shared" si="57"/>
        <v>99.680869818149702</v>
      </c>
      <c r="P82" s="1498">
        <f t="shared" si="57"/>
        <v>99.680869818149702</v>
      </c>
      <c r="Q82" s="1502">
        <f t="shared" si="57"/>
        <v>99.680869818149702</v>
      </c>
    </row>
    <row r="83" spans="2:21" outlineLevel="1" x14ac:dyDescent="0.25">
      <c r="C83" s="1496">
        <f t="shared" si="58"/>
        <v>2020</v>
      </c>
      <c r="D83" s="1488">
        <v>1098.1212466351228</v>
      </c>
      <c r="E83" s="1489"/>
      <c r="F83" s="1497">
        <v>0</v>
      </c>
      <c r="G83" s="1489"/>
      <c r="H83" s="99"/>
      <c r="I83" s="1498"/>
      <c r="J83" s="1498"/>
      <c r="K83" s="1498"/>
      <c r="L83" s="1498">
        <f>+(D83-F83)/$F$76</f>
        <v>109.81212466351228</v>
      </c>
      <c r="M83" s="1498">
        <f t="shared" si="57"/>
        <v>109.81212466351228</v>
      </c>
      <c r="N83" s="1498">
        <f t="shared" si="57"/>
        <v>109.81212466351228</v>
      </c>
      <c r="O83" s="1498">
        <f t="shared" si="57"/>
        <v>109.81212466351228</v>
      </c>
      <c r="P83" s="1498">
        <f t="shared" si="57"/>
        <v>109.81212466351228</v>
      </c>
      <c r="Q83" s="1502">
        <f t="shared" si="57"/>
        <v>109.81212466351228</v>
      </c>
    </row>
    <row r="84" spans="2:21" outlineLevel="1" x14ac:dyDescent="0.25">
      <c r="C84" s="1496">
        <f t="shared" si="58"/>
        <v>2021</v>
      </c>
      <c r="D84" s="1488">
        <v>1103.5299166607413</v>
      </c>
      <c r="E84" s="1489"/>
      <c r="F84" s="1497">
        <v>0</v>
      </c>
      <c r="G84" s="1489"/>
      <c r="H84" s="99"/>
      <c r="I84" s="1498"/>
      <c r="J84" s="1498"/>
      <c r="K84" s="1498"/>
      <c r="L84" s="1498">
        <f>+(D84-F84)/$F$76</f>
        <v>110.35299166607413</v>
      </c>
      <c r="M84" s="1498">
        <f>+(D84-F84)/$F$76</f>
        <v>110.35299166607413</v>
      </c>
      <c r="N84" s="1498">
        <f t="shared" si="57"/>
        <v>110.35299166607413</v>
      </c>
      <c r="O84" s="1498">
        <f t="shared" si="57"/>
        <v>110.35299166607413</v>
      </c>
      <c r="P84" s="1498">
        <f t="shared" si="57"/>
        <v>110.35299166607413</v>
      </c>
      <c r="Q84" s="1502">
        <f t="shared" si="57"/>
        <v>110.35299166607413</v>
      </c>
    </row>
    <row r="85" spans="2:21" outlineLevel="1" x14ac:dyDescent="0.25">
      <c r="C85" s="1496">
        <f t="shared" si="58"/>
        <v>2022</v>
      </c>
      <c r="D85" s="1488">
        <v>1082.3491093148211</v>
      </c>
      <c r="E85" s="1489"/>
      <c r="F85" s="1497">
        <v>0</v>
      </c>
      <c r="G85" s="1489"/>
      <c r="H85" s="99"/>
      <c r="I85" s="1498"/>
      <c r="J85" s="1498"/>
      <c r="K85" s="1498"/>
      <c r="L85" s="1498"/>
      <c r="M85" s="71">
        <f>+(D85-F85)/$F$76</f>
        <v>108.23491093148212</v>
      </c>
      <c r="N85" s="1498">
        <f>+(D85-F85)/$F$76</f>
        <v>108.23491093148212</v>
      </c>
      <c r="O85" s="1498">
        <f t="shared" si="57"/>
        <v>108.23491093148212</v>
      </c>
      <c r="P85" s="1498">
        <f t="shared" si="57"/>
        <v>108.23491093148212</v>
      </c>
      <c r="Q85" s="1502">
        <f t="shared" si="57"/>
        <v>108.23491093148212</v>
      </c>
    </row>
    <row r="86" spans="2:21" outlineLevel="1" x14ac:dyDescent="0.25">
      <c r="C86" s="1496">
        <f t="shared" si="58"/>
        <v>2023</v>
      </c>
      <c r="D86" s="1488">
        <v>1043.6963440669895</v>
      </c>
      <c r="E86" s="1489"/>
      <c r="F86" s="1497">
        <v>0</v>
      </c>
      <c r="G86" s="1489"/>
      <c r="H86" s="99"/>
      <c r="I86" s="1498"/>
      <c r="J86" s="1498"/>
      <c r="K86" s="1498"/>
      <c r="L86" s="1498"/>
      <c r="M86" s="71"/>
      <c r="N86" s="71">
        <f>+(D86-F86)/$F$76</f>
        <v>104.36963440669895</v>
      </c>
      <c r="O86" s="1498">
        <f>+(D86-F86)/$F$76</f>
        <v>104.36963440669895</v>
      </c>
      <c r="P86" s="1498">
        <f t="shared" si="57"/>
        <v>104.36963440669895</v>
      </c>
      <c r="Q86" s="1502">
        <f t="shared" si="57"/>
        <v>104.36963440669895</v>
      </c>
    </row>
    <row r="87" spans="2:21" outlineLevel="1" x14ac:dyDescent="0.25">
      <c r="C87" s="1496">
        <f t="shared" si="58"/>
        <v>2024</v>
      </c>
      <c r="D87" s="1488">
        <v>986.58863268824996</v>
      </c>
      <c r="E87" s="1489"/>
      <c r="F87" s="1497">
        <v>0</v>
      </c>
      <c r="G87" s="1489"/>
      <c r="H87" s="99"/>
      <c r="I87" s="1498"/>
      <c r="J87" s="1498"/>
      <c r="K87" s="1498"/>
      <c r="L87" s="1498"/>
      <c r="M87" s="71"/>
      <c r="N87" s="71"/>
      <c r="O87" s="71">
        <f>+(D87-F87)/$F$76</f>
        <v>98.658863268825002</v>
      </c>
      <c r="P87" s="1498">
        <f>+(D87-F87)/$F$76</f>
        <v>98.658863268825002</v>
      </c>
      <c r="Q87" s="1502">
        <f t="shared" si="57"/>
        <v>98.658863268825002</v>
      </c>
    </row>
    <row r="88" spans="2:21" outlineLevel="1" x14ac:dyDescent="0.25">
      <c r="C88" s="1496">
        <f t="shared" si="58"/>
        <v>2025</v>
      </c>
      <c r="D88" s="1488">
        <v>916.67234309658386</v>
      </c>
      <c r="E88" s="1489"/>
      <c r="F88" s="1497">
        <v>0</v>
      </c>
      <c r="G88" s="1489"/>
      <c r="H88" s="99"/>
      <c r="I88" s="1498"/>
      <c r="J88" s="1498"/>
      <c r="K88" s="1498"/>
      <c r="L88" s="1498"/>
      <c r="M88" s="1498"/>
      <c r="N88" s="1498"/>
      <c r="O88" s="1498"/>
      <c r="P88" s="1498">
        <f>+(D88-F88)/$F$76</f>
        <v>91.667234309658383</v>
      </c>
      <c r="Q88" s="1502">
        <f>+(D88-F88)/$F$76</f>
        <v>91.667234309658383</v>
      </c>
    </row>
    <row r="89" spans="2:21" outlineLevel="1" x14ac:dyDescent="0.25">
      <c r="C89" s="1499" t="s">
        <v>1130</v>
      </c>
      <c r="D89" s="1490"/>
      <c r="E89" s="1490"/>
      <c r="F89" s="1490"/>
      <c r="G89" s="1490"/>
      <c r="H89" s="1503">
        <f>SUM(H79:H88)</f>
        <v>73.947582661315749</v>
      </c>
      <c r="I89" s="1503">
        <f t="shared" ref="I89:Q89" si="59">SUM(I79:I88)</f>
        <v>156.131521698504</v>
      </c>
      <c r="J89" s="1503">
        <f t="shared" si="59"/>
        <v>246.63330675337119</v>
      </c>
      <c r="K89" s="1503">
        <f t="shared" si="59"/>
        <v>346.31417657152087</v>
      </c>
      <c r="L89" s="1503">
        <f t="shared" si="59"/>
        <v>566.47929290110733</v>
      </c>
      <c r="M89" s="1503">
        <f t="shared" si="59"/>
        <v>674.71420383258942</v>
      </c>
      <c r="N89" s="1503">
        <f t="shared" si="59"/>
        <v>779.08383823928841</v>
      </c>
      <c r="O89" s="1503">
        <f t="shared" si="59"/>
        <v>877.74270150811344</v>
      </c>
      <c r="P89" s="1503">
        <f t="shared" si="59"/>
        <v>969.40993581777184</v>
      </c>
      <c r="Q89" s="1504">
        <f t="shared" si="59"/>
        <v>969.40993581777184</v>
      </c>
    </row>
    <row r="90" spans="2:21" outlineLevel="1" x14ac:dyDescent="0.25">
      <c r="C90" s="1492" t="s">
        <v>1131</v>
      </c>
      <c r="D90" s="1491"/>
      <c r="E90" s="1491"/>
      <c r="F90" s="1489"/>
      <c r="G90" s="1491"/>
      <c r="H90" s="1514">
        <f>+Duz!D35</f>
        <v>0</v>
      </c>
      <c r="I90" s="1514">
        <f>+Duz!E35</f>
        <v>0</v>
      </c>
      <c r="J90" s="1514">
        <f>+Duz!F35</f>
        <v>0</v>
      </c>
      <c r="K90" s="1514">
        <f>+Duz!G35</f>
        <v>0</v>
      </c>
      <c r="L90" s="1514">
        <f>+Duz!H35</f>
        <v>0</v>
      </c>
      <c r="M90" s="1514">
        <f>+Duz!I35</f>
        <v>0</v>
      </c>
      <c r="N90" s="1514">
        <f>+Duz!J35</f>
        <v>0</v>
      </c>
      <c r="O90" s="1514">
        <f>+Duz!K35</f>
        <v>0</v>
      </c>
      <c r="P90" s="1514">
        <f>+Duz!L35</f>
        <v>0</v>
      </c>
      <c r="Q90" s="1515">
        <f>+Duz!M35</f>
        <v>0</v>
      </c>
    </row>
    <row r="91" spans="2:21" s="7" customFormat="1" ht="15.75" outlineLevel="1" thickBot="1" x14ac:dyDescent="0.3">
      <c r="C91" s="1506" t="s">
        <v>1132</v>
      </c>
      <c r="D91" s="1507"/>
      <c r="E91" s="1507"/>
      <c r="F91" s="1507"/>
      <c r="G91" s="1507"/>
      <c r="H91" s="1508">
        <f>+H89+H90</f>
        <v>73.947582661315749</v>
      </c>
      <c r="I91" s="1508">
        <f t="shared" ref="I91:Q91" si="60">+I89+I90</f>
        <v>156.131521698504</v>
      </c>
      <c r="J91" s="1508">
        <f t="shared" si="60"/>
        <v>246.63330675337119</v>
      </c>
      <c r="K91" s="1508">
        <f t="shared" si="60"/>
        <v>346.31417657152087</v>
      </c>
      <c r="L91" s="1508">
        <f t="shared" si="60"/>
        <v>566.47929290110733</v>
      </c>
      <c r="M91" s="1508">
        <f t="shared" si="60"/>
        <v>674.71420383258942</v>
      </c>
      <c r="N91" s="1508">
        <f t="shared" si="60"/>
        <v>779.08383823928841</v>
      </c>
      <c r="O91" s="1508">
        <f t="shared" si="60"/>
        <v>877.74270150811344</v>
      </c>
      <c r="P91" s="1508">
        <f t="shared" si="60"/>
        <v>969.40993581777184</v>
      </c>
      <c r="Q91" s="1509">
        <f t="shared" si="60"/>
        <v>969.40993581777184</v>
      </c>
    </row>
    <row r="92" spans="2:21" s="319" customFormat="1" ht="19.5" thickBot="1" x14ac:dyDescent="0.35">
      <c r="B92" s="1280" t="s">
        <v>297</v>
      </c>
      <c r="C92" s="1281" t="s">
        <v>1203</v>
      </c>
      <c r="D92" s="1282"/>
      <c r="E92" s="1282"/>
      <c r="F92" s="1282"/>
      <c r="G92" s="1283"/>
      <c r="H92" s="1284"/>
      <c r="I92" s="1285"/>
      <c r="J92" s="1285"/>
      <c r="K92" s="1285"/>
      <c r="L92" s="1286"/>
      <c r="M92" s="1286"/>
      <c r="N92" s="1286"/>
      <c r="O92" s="1286"/>
      <c r="P92" s="1286"/>
      <c r="Q92" s="1286"/>
      <c r="R92" s="1286"/>
      <c r="S92" s="1286"/>
      <c r="T92" s="1286"/>
      <c r="U92" s="1287"/>
    </row>
    <row r="93" spans="2:21" ht="7.15" customHeight="1" x14ac:dyDescent="0.25"/>
    <row r="94" spans="2:21" ht="15.75" thickBot="1" x14ac:dyDescent="0.3">
      <c r="C94" s="72" t="s">
        <v>384</v>
      </c>
      <c r="D94" s="377" t="s">
        <v>298</v>
      </c>
      <c r="E94" s="378">
        <f t="shared" ref="E94:N94" si="61">I56</f>
        <v>2016</v>
      </c>
      <c r="F94" s="379">
        <f t="shared" si="61"/>
        <v>2017</v>
      </c>
      <c r="G94" s="379">
        <f t="shared" si="61"/>
        <v>2018</v>
      </c>
      <c r="H94" s="379">
        <f t="shared" si="61"/>
        <v>2019</v>
      </c>
      <c r="I94" s="379">
        <f t="shared" si="61"/>
        <v>2020</v>
      </c>
      <c r="J94" s="379">
        <f t="shared" si="61"/>
        <v>2021</v>
      </c>
      <c r="K94" s="379">
        <f t="shared" si="61"/>
        <v>2022</v>
      </c>
      <c r="L94" s="379">
        <f t="shared" si="61"/>
        <v>2023</v>
      </c>
      <c r="M94" s="379">
        <f t="shared" si="61"/>
        <v>2024</v>
      </c>
      <c r="N94" s="380">
        <f t="shared" si="61"/>
        <v>2025</v>
      </c>
    </row>
    <row r="95" spans="2:21" x14ac:dyDescent="0.25">
      <c r="B95" s="348">
        <v>1</v>
      </c>
      <c r="C95" s="349" t="s">
        <v>1142</v>
      </c>
      <c r="D95" s="381">
        <f>K52</f>
        <v>369.82299999999998</v>
      </c>
      <c r="E95" s="382">
        <f t="shared" ref="E95:N95" si="62">+I58</f>
        <v>454.57932084669727</v>
      </c>
      <c r="F95" s="382">
        <f t="shared" si="62"/>
        <v>496.67347885240684</v>
      </c>
      <c r="G95" s="382">
        <f t="shared" si="62"/>
        <v>543.47658632103958</v>
      </c>
      <c r="H95" s="382">
        <f t="shared" si="62"/>
        <v>595.43604265504075</v>
      </c>
      <c r="I95" s="382">
        <f t="shared" si="62"/>
        <v>653.05219033705498</v>
      </c>
      <c r="J95" s="382">
        <f t="shared" si="62"/>
        <v>696.59737215254506</v>
      </c>
      <c r="K95" s="382">
        <f t="shared" si="62"/>
        <v>731.70906073335993</v>
      </c>
      <c r="L95" s="382">
        <f t="shared" si="62"/>
        <v>757.64237858170043</v>
      </c>
      <c r="M95" s="382">
        <f t="shared" si="62"/>
        <v>773.67396512836854</v>
      </c>
      <c r="N95" s="383">
        <f t="shared" si="62"/>
        <v>779.81745317580919</v>
      </c>
    </row>
    <row r="96" spans="2:21" x14ac:dyDescent="0.25">
      <c r="B96" s="353">
        <v>2</v>
      </c>
      <c r="C96" s="354" t="s">
        <v>1143</v>
      </c>
      <c r="D96" s="370">
        <f>D95</f>
        <v>369.82299999999998</v>
      </c>
      <c r="E96" s="384">
        <f t="shared" ref="E96:N96" si="63">+I71</f>
        <v>414.77360348222709</v>
      </c>
      <c r="F96" s="384">
        <f t="shared" si="63"/>
        <v>460.97150597798486</v>
      </c>
      <c r="G96" s="384">
        <f t="shared" si="63"/>
        <v>507.62648565141501</v>
      </c>
      <c r="H96" s="384">
        <f t="shared" si="63"/>
        <v>559.11217222717357</v>
      </c>
      <c r="I96" s="384">
        <f t="shared" si="63"/>
        <v>615.93860155420145</v>
      </c>
      <c r="J96" s="384">
        <f t="shared" si="63"/>
        <v>679.43840757383566</v>
      </c>
      <c r="K96" s="384">
        <f t="shared" si="63"/>
        <v>738.01170666004577</v>
      </c>
      <c r="L96" s="384">
        <f t="shared" si="63"/>
        <v>796.70477284712001</v>
      </c>
      <c r="M96" s="384">
        <f t="shared" si="63"/>
        <v>854.5629045397036</v>
      </c>
      <c r="N96" s="383">
        <f t="shared" si="63"/>
        <v>916.67234309658386</v>
      </c>
    </row>
    <row r="97" spans="2:14" x14ac:dyDescent="0.25">
      <c r="B97" s="353">
        <v>3</v>
      </c>
      <c r="C97" s="357" t="s">
        <v>1141</v>
      </c>
      <c r="D97" s="385">
        <f>D96</f>
        <v>369.82299999999998</v>
      </c>
      <c r="E97" s="386">
        <f t="shared" ref="E97:N97" si="64">+H91</f>
        <v>73.947582661315749</v>
      </c>
      <c r="F97" s="386">
        <f t="shared" si="64"/>
        <v>156.131521698504</v>
      </c>
      <c r="G97" s="386">
        <f t="shared" si="64"/>
        <v>246.63330675337119</v>
      </c>
      <c r="H97" s="386">
        <f t="shared" si="64"/>
        <v>346.31417657152087</v>
      </c>
      <c r="I97" s="386">
        <f t="shared" si="64"/>
        <v>566.47929290110733</v>
      </c>
      <c r="J97" s="386">
        <f t="shared" si="64"/>
        <v>674.71420383258942</v>
      </c>
      <c r="K97" s="386">
        <f t="shared" si="64"/>
        <v>779.08383823928841</v>
      </c>
      <c r="L97" s="386">
        <f t="shared" si="64"/>
        <v>877.74270150811344</v>
      </c>
      <c r="M97" s="386">
        <f t="shared" si="64"/>
        <v>969.40993581777184</v>
      </c>
      <c r="N97" s="387">
        <f t="shared" si="64"/>
        <v>969.40993581777184</v>
      </c>
    </row>
    <row r="98" spans="2:14" ht="14.25" customHeight="1" x14ac:dyDescent="0.25"/>
    <row r="99" spans="2:14" x14ac:dyDescent="0.25">
      <c r="C99" s="40" t="s">
        <v>1146</v>
      </c>
      <c r="D99" s="361">
        <v>1</v>
      </c>
      <c r="E99" s="362">
        <f>IF($D$99=1,E95,IF($D$99=2,E96,E97))</f>
        <v>454.57932084669727</v>
      </c>
      <c r="F99" s="362">
        <f t="shared" ref="F99:N99" si="65">IF($D$99=1,F95,IF($D$99=2,F96,F97))</f>
        <v>496.67347885240684</v>
      </c>
      <c r="G99" s="362">
        <f t="shared" si="65"/>
        <v>543.47658632103958</v>
      </c>
      <c r="H99" s="362">
        <f t="shared" si="65"/>
        <v>595.43604265504075</v>
      </c>
      <c r="I99" s="362">
        <f t="shared" si="65"/>
        <v>653.05219033705498</v>
      </c>
      <c r="J99" s="362">
        <f t="shared" si="65"/>
        <v>696.59737215254506</v>
      </c>
      <c r="K99" s="362">
        <f t="shared" si="65"/>
        <v>731.70906073335993</v>
      </c>
      <c r="L99" s="362">
        <f t="shared" si="65"/>
        <v>757.64237858170043</v>
      </c>
      <c r="M99" s="362">
        <f t="shared" si="65"/>
        <v>773.67396512836854</v>
      </c>
      <c r="N99" s="363">
        <f t="shared" si="65"/>
        <v>779.81745317580919</v>
      </c>
    </row>
  </sheetData>
  <mergeCells count="10">
    <mergeCell ref="G15:G16"/>
    <mergeCell ref="T15:U15"/>
    <mergeCell ref="G34:G35"/>
    <mergeCell ref="T34:U34"/>
    <mergeCell ref="C22:C23"/>
    <mergeCell ref="P22:Q22"/>
    <mergeCell ref="G57:G58"/>
    <mergeCell ref="T57:U57"/>
    <mergeCell ref="G70:G71"/>
    <mergeCell ref="T70:U70"/>
  </mergeCells>
  <dataValidations count="1">
    <dataValidation type="whole" allowBlank="1" showInputMessage="1" showErrorMessage="1" sqref="F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sheetPr>
  <dimension ref="B4:Y20"/>
  <sheetViews>
    <sheetView zoomScale="71" zoomScaleNormal="71" workbookViewId="0">
      <selection activeCell="D19" sqref="D19"/>
    </sheetView>
  </sheetViews>
  <sheetFormatPr defaultColWidth="9.140625" defaultRowHeight="15" x14ac:dyDescent="0.25"/>
  <cols>
    <col min="1" max="1" width="9.140625" style="1170"/>
    <col min="2" max="2" width="4" style="1170" bestFit="1" customWidth="1"/>
    <col min="3" max="3" width="23.42578125" style="1170" customWidth="1"/>
    <col min="4" max="4" width="10.42578125" style="1170" bestFit="1" customWidth="1"/>
    <col min="5" max="6" width="9.140625" style="1170"/>
    <col min="7" max="7" width="10" style="1170" customWidth="1"/>
    <col min="8" max="8" width="15.7109375" style="1170" customWidth="1"/>
    <col min="9" max="11" width="6.7109375" style="1170" bestFit="1" customWidth="1"/>
    <col min="12" max="12" width="7.140625" style="1170" bestFit="1" customWidth="1"/>
    <col min="13" max="18" width="6.7109375" style="1170" bestFit="1" customWidth="1"/>
    <col min="19" max="21" width="9.140625" style="1170"/>
    <col min="22" max="24" width="9" style="1170" customWidth="1"/>
    <col min="25" max="25" width="9" style="1631" customWidth="1"/>
    <col min="26" max="33" width="9" style="1170" customWidth="1"/>
    <col min="34" max="16384" width="9.140625" style="1170"/>
  </cols>
  <sheetData>
    <row r="4" spans="2:25" s="4" customFormat="1" ht="24" customHeight="1" thickBot="1" x14ac:dyDescent="0.4">
      <c r="B4" s="1521"/>
      <c r="C4" s="1522" t="s">
        <v>1275</v>
      </c>
      <c r="D4" s="1523"/>
      <c r="E4" s="1523"/>
      <c r="F4" s="1523"/>
      <c r="G4" s="1523"/>
      <c r="H4" s="1523"/>
      <c r="I4" s="1523"/>
      <c r="J4" s="1523"/>
      <c r="K4" s="1523"/>
      <c r="L4" s="1524"/>
      <c r="M4" s="1524"/>
      <c r="N4" s="1524"/>
      <c r="O4" s="1525"/>
      <c r="P4" s="1526"/>
      <c r="Q4" s="1525"/>
      <c r="R4" s="1525"/>
      <c r="S4" s="1526"/>
      <c r="T4" s="1526"/>
      <c r="U4" s="1634"/>
      <c r="Y4" s="1591"/>
    </row>
    <row r="5" spans="2:25" s="4" customFormat="1" ht="7.15" customHeight="1" thickBot="1" x14ac:dyDescent="0.3">
      <c r="Y5" s="1591"/>
    </row>
    <row r="6" spans="2:25" s="319" customFormat="1" ht="19.5" thickBot="1" x14ac:dyDescent="0.35">
      <c r="B6" s="1280" t="s">
        <v>251</v>
      </c>
      <c r="C6" s="1281" t="s">
        <v>1276</v>
      </c>
      <c r="D6" s="1282"/>
      <c r="E6" s="1282"/>
      <c r="F6" s="1282"/>
      <c r="G6" s="1283"/>
      <c r="H6" s="1284"/>
      <c r="I6" s="1285"/>
      <c r="J6" s="1285"/>
      <c r="K6" s="1285"/>
      <c r="L6" s="1286"/>
      <c r="M6" s="1286"/>
      <c r="N6" s="1286"/>
      <c r="O6" s="1286"/>
      <c r="P6" s="1286"/>
      <c r="Q6" s="1286"/>
      <c r="R6" s="1286"/>
      <c r="S6" s="1286"/>
      <c r="T6" s="1286"/>
      <c r="U6" s="1287"/>
      <c r="Y6" s="1632"/>
    </row>
    <row r="7" spans="2:25" s="319" customFormat="1" ht="6" customHeight="1" x14ac:dyDescent="0.3">
      <c r="Y7" s="1632"/>
    </row>
    <row r="8" spans="2:25" s="319" customFormat="1" ht="7.5" customHeight="1" x14ac:dyDescent="0.3">
      <c r="Y8" s="1632"/>
    </row>
    <row r="9" spans="2:25" s="122" customFormat="1" ht="15.75" x14ac:dyDescent="0.25">
      <c r="C9" s="725" t="s">
        <v>1156</v>
      </c>
      <c r="D9" s="872">
        <v>1</v>
      </c>
      <c r="E9" s="872">
        <f>D9+1</f>
        <v>2</v>
      </c>
      <c r="F9" s="872">
        <f t="shared" ref="F9:K9" si="0">E9+1</f>
        <v>3</v>
      </c>
      <c r="G9" s="872">
        <f t="shared" si="0"/>
        <v>4</v>
      </c>
      <c r="H9" s="872">
        <f t="shared" si="0"/>
        <v>5</v>
      </c>
      <c r="I9" s="872">
        <f t="shared" si="0"/>
        <v>6</v>
      </c>
      <c r="J9" s="872">
        <f t="shared" si="0"/>
        <v>7</v>
      </c>
      <c r="K9" s="872">
        <f t="shared" si="0"/>
        <v>8</v>
      </c>
      <c r="Y9" s="1633"/>
    </row>
    <row r="10" spans="2:25" s="122" customFormat="1" ht="16.5" thickBot="1" x14ac:dyDescent="0.3">
      <c r="C10" s="1635"/>
      <c r="D10" s="1652" t="str">
        <f>Sales!D8</f>
        <v>2008</v>
      </c>
      <c r="E10" s="1636" t="str">
        <f>Sales!E8</f>
        <v>2009</v>
      </c>
      <c r="F10" s="1636" t="str">
        <f>Sales!F8</f>
        <v>2010</v>
      </c>
      <c r="G10" s="1636" t="str">
        <f>Sales!G8</f>
        <v>2011</v>
      </c>
      <c r="H10" s="1636" t="str">
        <f>Sales!H8</f>
        <v>2012</v>
      </c>
      <c r="I10" s="1636" t="str">
        <f>Sales!I8</f>
        <v>2013</v>
      </c>
      <c r="J10" s="1636" t="str">
        <f>Sales!J8</f>
        <v>2014</v>
      </c>
      <c r="K10" s="1653" t="str">
        <f>Sales!K8</f>
        <v>2015</v>
      </c>
      <c r="L10" s="1636">
        <f>K10+1</f>
        <v>2016</v>
      </c>
      <c r="M10" s="1636">
        <f t="shared" ref="M10:U10" si="1">L10+1</f>
        <v>2017</v>
      </c>
      <c r="N10" s="1636">
        <f t="shared" si="1"/>
        <v>2018</v>
      </c>
      <c r="O10" s="1636">
        <f t="shared" si="1"/>
        <v>2019</v>
      </c>
      <c r="P10" s="1636">
        <f t="shared" si="1"/>
        <v>2020</v>
      </c>
      <c r="Q10" s="1636">
        <f t="shared" si="1"/>
        <v>2021</v>
      </c>
      <c r="R10" s="1636">
        <f t="shared" si="1"/>
        <v>2022</v>
      </c>
      <c r="S10" s="1636">
        <f t="shared" si="1"/>
        <v>2023</v>
      </c>
      <c r="T10" s="1636">
        <f t="shared" si="1"/>
        <v>2024</v>
      </c>
      <c r="U10" s="1637">
        <f t="shared" si="1"/>
        <v>2025</v>
      </c>
      <c r="Y10" s="1633"/>
    </row>
    <row r="11" spans="2:25" s="122" customFormat="1" ht="15.75" x14ac:dyDescent="0.25">
      <c r="C11" s="1638" t="s">
        <v>501</v>
      </c>
      <c r="D11" s="1654">
        <f>+Mali!C56</f>
        <v>6775.5379999999996</v>
      </c>
      <c r="E11" s="876">
        <f>+Mali!D56</f>
        <v>6591.8950000000004</v>
      </c>
      <c r="F11" s="876">
        <f>+Mali!E56</f>
        <v>6936.42</v>
      </c>
      <c r="G11" s="876">
        <f>+Mali!F56</f>
        <v>8437.2389999999996</v>
      </c>
      <c r="H11" s="876">
        <f>+Mali!G56</f>
        <v>10556.861000000001</v>
      </c>
      <c r="I11" s="876">
        <f>+Mali!H56</f>
        <v>11097.710999999999</v>
      </c>
      <c r="J11" s="876">
        <f>+Mali!I56</f>
        <v>12514.032999999999</v>
      </c>
      <c r="K11" s="1655">
        <f>+Mali!J56</f>
        <v>14166.1</v>
      </c>
      <c r="L11" s="987">
        <f>+Sales!E154</f>
        <v>15887.936510951396</v>
      </c>
      <c r="M11" s="987">
        <f>+Sales!F154</f>
        <v>17657.550911746246</v>
      </c>
      <c r="N11" s="987">
        <f>+Sales!G154</f>
        <v>19444.673690891348</v>
      </c>
      <c r="O11" s="987">
        <f>+Sales!H154</f>
        <v>21416.837089600605</v>
      </c>
      <c r="P11" s="987">
        <f>+Sales!I154</f>
        <v>23593.578072421064</v>
      </c>
      <c r="Q11" s="987">
        <f>+Sales!J154</f>
        <v>25938.916071454521</v>
      </c>
      <c r="R11" s="987">
        <f>+Sales!K154</f>
        <v>28081.168950086354</v>
      </c>
      <c r="S11" s="987">
        <f>+Sales!L154</f>
        <v>30213.732173147568</v>
      </c>
      <c r="T11" s="987">
        <f>+Sales!M154</f>
        <v>32300.616337178635</v>
      </c>
      <c r="U11" s="1639">
        <f>+Sales!N154</f>
        <v>34533.888102892684</v>
      </c>
      <c r="Y11" s="1633"/>
    </row>
    <row r="12" spans="2:25" s="122" customFormat="1" ht="15.75" x14ac:dyDescent="0.25">
      <c r="C12" s="1638" t="s">
        <v>1277</v>
      </c>
      <c r="D12" s="1654">
        <f>+Mali!C5</f>
        <v>415.58600000000001</v>
      </c>
      <c r="E12" s="876">
        <f>+Mali!D5</f>
        <v>904.73400000000004</v>
      </c>
      <c r="F12" s="876">
        <f>+Mali!E5</f>
        <v>1317.1659999999999</v>
      </c>
      <c r="G12" s="876">
        <f>+Mali!F5</f>
        <v>1173.8889999999999</v>
      </c>
      <c r="H12" s="876">
        <f>+Mali!G5</f>
        <v>1740.789</v>
      </c>
      <c r="I12" s="876">
        <f>+Mali!H5</f>
        <v>1266.575</v>
      </c>
      <c r="J12" s="876">
        <f>+Mali!I5</f>
        <v>1621.221</v>
      </c>
      <c r="K12" s="1655">
        <f>+Mali!J5</f>
        <v>2167.627</v>
      </c>
      <c r="L12" s="876"/>
      <c r="M12" s="876"/>
      <c r="N12" s="876"/>
      <c r="O12" s="876"/>
      <c r="P12" s="876"/>
      <c r="Q12" s="876"/>
      <c r="R12" s="876"/>
      <c r="S12" s="876"/>
      <c r="T12" s="876"/>
      <c r="U12" s="1640"/>
      <c r="Y12" s="1633"/>
    </row>
    <row r="13" spans="2:25" s="122" customFormat="1" ht="15.75" x14ac:dyDescent="0.25">
      <c r="C13" s="1641" t="s">
        <v>1278</v>
      </c>
      <c r="D13" s="1656">
        <f>+D12/D11</f>
        <v>6.1336236325440142E-2</v>
      </c>
      <c r="E13" s="1642">
        <f t="shared" ref="E13:K13" si="2">+E12/E11</f>
        <v>0.1372494555814375</v>
      </c>
      <c r="F13" s="1642">
        <f t="shared" si="2"/>
        <v>0.18989132722643667</v>
      </c>
      <c r="G13" s="1642">
        <f t="shared" si="2"/>
        <v>0.13913188899828485</v>
      </c>
      <c r="H13" s="1642">
        <f t="shared" si="2"/>
        <v>0.16489645927894664</v>
      </c>
      <c r="I13" s="1642">
        <f t="shared" si="2"/>
        <v>0.11412939118706553</v>
      </c>
      <c r="J13" s="1642">
        <f t="shared" si="2"/>
        <v>0.12955223947387706</v>
      </c>
      <c r="K13" s="1657">
        <f t="shared" si="2"/>
        <v>0.15301508530929472</v>
      </c>
      <c r="L13" s="1642"/>
      <c r="M13" s="1642"/>
      <c r="N13" s="1642"/>
      <c r="O13" s="1642"/>
      <c r="P13" s="1642"/>
      <c r="Q13" s="1642"/>
      <c r="R13" s="1642"/>
      <c r="S13" s="1642"/>
      <c r="T13" s="1642"/>
      <c r="U13" s="1643"/>
      <c r="Y13" s="1633"/>
    </row>
    <row r="15" spans="2:25" ht="16.5" thickBot="1" x14ac:dyDescent="0.3">
      <c r="C15" s="1644" t="s">
        <v>1270</v>
      </c>
      <c r="D15" s="1645"/>
      <c r="E15" s="890"/>
      <c r="F15" s="890"/>
      <c r="G15" s="890"/>
      <c r="H15" s="890"/>
      <c r="I15" s="890"/>
      <c r="J15" s="890"/>
      <c r="K15" s="890"/>
      <c r="L15" s="890"/>
      <c r="M15" s="890"/>
      <c r="N15" s="890"/>
      <c r="O15" s="890"/>
      <c r="P15" s="890"/>
      <c r="Q15" s="890"/>
      <c r="R15" s="890"/>
      <c r="S15" s="122"/>
      <c r="T15" s="122"/>
      <c r="U15" s="122"/>
    </row>
    <row r="16" spans="2:25" ht="16.5" thickBot="1" x14ac:dyDescent="0.3">
      <c r="C16" s="1646" t="s">
        <v>1283</v>
      </c>
      <c r="D16" s="1649">
        <f>MIN(D13:K13)</f>
        <v>6.1336236325440142E-2</v>
      </c>
      <c r="E16" s="890"/>
      <c r="F16" s="890"/>
      <c r="G16" s="890"/>
      <c r="H16" s="890"/>
      <c r="I16" s="891">
        <f>+L10</f>
        <v>2016</v>
      </c>
      <c r="J16" s="891">
        <f t="shared" ref="J16:R16" si="3">I16+1</f>
        <v>2017</v>
      </c>
      <c r="K16" s="891">
        <f t="shared" si="3"/>
        <v>2018</v>
      </c>
      <c r="L16" s="891">
        <f t="shared" si="3"/>
        <v>2019</v>
      </c>
      <c r="M16" s="891">
        <f t="shared" si="3"/>
        <v>2020</v>
      </c>
      <c r="N16" s="891">
        <f t="shared" si="3"/>
        <v>2021</v>
      </c>
      <c r="O16" s="891">
        <f t="shared" si="3"/>
        <v>2022</v>
      </c>
      <c r="P16" s="891">
        <f t="shared" si="3"/>
        <v>2023</v>
      </c>
      <c r="Q16" s="891">
        <f t="shared" si="3"/>
        <v>2024</v>
      </c>
      <c r="R16" s="891">
        <f t="shared" si="3"/>
        <v>2025</v>
      </c>
      <c r="S16" s="892" t="s">
        <v>267</v>
      </c>
      <c r="T16" s="122"/>
      <c r="U16" s="122"/>
    </row>
    <row r="17" spans="3:21" ht="15.75" x14ac:dyDescent="0.25">
      <c r="C17" s="1647" t="s">
        <v>1284</v>
      </c>
      <c r="D17" s="1650">
        <f>MAX(D13:K13)</f>
        <v>0.18989132722643667</v>
      </c>
      <c r="E17" s="890"/>
      <c r="F17" s="890"/>
      <c r="G17" s="890"/>
      <c r="H17" s="893" t="s">
        <v>1278</v>
      </c>
      <c r="I17" s="894">
        <f>K13</f>
        <v>0.15301508530929472</v>
      </c>
      <c r="J17" s="895">
        <f>I17</f>
        <v>0.15301508530929472</v>
      </c>
      <c r="K17" s="895">
        <f>J17</f>
        <v>0.15301508530929472</v>
      </c>
      <c r="L17" s="895">
        <f>K17</f>
        <v>0.15301508530929472</v>
      </c>
      <c r="M17" s="895">
        <f>L17</f>
        <v>0.15301508530929472</v>
      </c>
      <c r="N17" s="895">
        <f>M17-($M$17-$R$17)/5</f>
        <v>0.1507580776222657</v>
      </c>
      <c r="O17" s="895">
        <f t="shared" ref="O17:Q17" si="4">N17-($M$17-$R$17)/5</f>
        <v>0.14850106993523668</v>
      </c>
      <c r="P17" s="895">
        <f t="shared" si="4"/>
        <v>0.14624406224820766</v>
      </c>
      <c r="Q17" s="895">
        <f t="shared" si="4"/>
        <v>0.14398705456117863</v>
      </c>
      <c r="R17" s="895">
        <f>+D20</f>
        <v>0.14173004687414967</v>
      </c>
      <c r="S17" s="1531"/>
      <c r="T17" s="122"/>
      <c r="U17" s="122"/>
    </row>
    <row r="18" spans="3:21" ht="16.5" thickBot="1" x14ac:dyDescent="0.3">
      <c r="C18" s="1647" t="s">
        <v>1285</v>
      </c>
      <c r="D18" s="1650">
        <f>AVERAGE(D13:K13)</f>
        <v>0.1361502604225979</v>
      </c>
      <c r="E18" s="890"/>
      <c r="F18" s="890"/>
      <c r="G18" s="890"/>
      <c r="H18" s="897" t="s">
        <v>1289</v>
      </c>
      <c r="I18" s="898">
        <f>I17*L11</f>
        <v>2431.0939606118864</v>
      </c>
      <c r="J18" s="899">
        <f t="shared" ref="J18:R18" si="5">J17*M11</f>
        <v>2701.8716591140665</v>
      </c>
      <c r="K18" s="899">
        <f t="shared" si="5"/>
        <v>2975.3284036231385</v>
      </c>
      <c r="L18" s="899">
        <f t="shared" si="5"/>
        <v>3277.0991543205041</v>
      </c>
      <c r="M18" s="899">
        <f t="shared" si="5"/>
        <v>3610.1733615030143</v>
      </c>
      <c r="N18" s="899">
        <f t="shared" si="5"/>
        <v>3910.5011225377762</v>
      </c>
      <c r="O18" s="899">
        <f t="shared" si="5"/>
        <v>4170.0836341199702</v>
      </c>
      <c r="P18" s="899">
        <f t="shared" si="5"/>
        <v>4418.5789286804675</v>
      </c>
      <c r="Q18" s="899">
        <f t="shared" si="5"/>
        <v>4650.8706069010377</v>
      </c>
      <c r="R18" s="899">
        <f t="shared" si="5"/>
        <v>4894.4895795696193</v>
      </c>
      <c r="S18" s="900"/>
      <c r="T18" s="122"/>
      <c r="U18" s="122"/>
    </row>
    <row r="19" spans="3:21" ht="15.75" x14ac:dyDescent="0.25">
      <c r="C19" s="1647" t="s">
        <v>1286</v>
      </c>
      <c r="D19" s="1650">
        <f>MEDIAN(D13:K13)</f>
        <v>0.13819067228986118</v>
      </c>
      <c r="E19" s="890"/>
      <c r="F19" s="890"/>
      <c r="G19" s="890"/>
      <c r="H19" s="890"/>
      <c r="I19" s="890"/>
      <c r="J19" s="890"/>
      <c r="K19" s="890"/>
      <c r="L19" s="890"/>
      <c r="M19" s="890"/>
      <c r="N19" s="890"/>
      <c r="O19" s="890"/>
      <c r="P19" s="890"/>
      <c r="Q19" s="890"/>
      <c r="R19" s="890"/>
      <c r="S19" s="122"/>
      <c r="T19" s="122"/>
      <c r="U19" s="122"/>
    </row>
    <row r="20" spans="3:21" ht="15.75" x14ac:dyDescent="0.25">
      <c r="C20" s="1648" t="s">
        <v>1287</v>
      </c>
      <c r="D20" s="1651">
        <f>SUMPRODUCT(D13:K13,D9:K9)/SUM(D9:K9)</f>
        <v>0.14173004687414967</v>
      </c>
      <c r="E20" s="949"/>
      <c r="F20" s="942"/>
      <c r="G20" s="942"/>
      <c r="H20" s="942"/>
      <c r="I20" s="942"/>
      <c r="J20" s="942"/>
      <c r="K20" s="942"/>
      <c r="L20" s="942"/>
      <c r="M20" s="942"/>
      <c r="N20" s="942"/>
      <c r="O20" s="1036"/>
      <c r="P20" s="730"/>
      <c r="Q20" s="730"/>
      <c r="R20" s="730"/>
      <c r="S20" s="730"/>
      <c r="T20" s="122"/>
      <c r="U20" s="122"/>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sheetPr>
  <dimension ref="B2:Y38"/>
  <sheetViews>
    <sheetView zoomScale="75" zoomScaleNormal="75" workbookViewId="0">
      <selection activeCell="L31" sqref="L31"/>
    </sheetView>
  </sheetViews>
  <sheetFormatPr defaultColWidth="9.140625" defaultRowHeight="15" x14ac:dyDescent="0.25"/>
  <cols>
    <col min="1" max="1" width="6.7109375" style="1170" customWidth="1"/>
    <col min="2" max="2" width="4" style="1170" bestFit="1" customWidth="1"/>
    <col min="3" max="3" width="23.42578125" style="1170" customWidth="1"/>
    <col min="4" max="4" width="10.42578125" style="1170" bestFit="1" customWidth="1"/>
    <col min="5" max="6" width="9.140625" style="1170"/>
    <col min="7" max="7" width="10" style="1170" customWidth="1"/>
    <col min="8" max="8" width="15.7109375" style="1170" customWidth="1"/>
    <col min="9" max="21" width="9.7109375" style="1170" bestFit="1" customWidth="1"/>
    <col min="22" max="24" width="9" style="1170" customWidth="1"/>
    <col min="25" max="25" width="9" style="1631" customWidth="1"/>
    <col min="26" max="33" width="9" style="1170" customWidth="1"/>
    <col min="34" max="16384" width="9.140625" style="1170"/>
  </cols>
  <sheetData>
    <row r="2" spans="2:25" s="4" customFormat="1" ht="24" customHeight="1" thickBot="1" x14ac:dyDescent="0.4">
      <c r="B2" s="1521"/>
      <c r="C2" s="1522" t="s">
        <v>1356</v>
      </c>
      <c r="D2" s="1523"/>
      <c r="E2" s="1523"/>
      <c r="F2" s="1523"/>
      <c r="G2" s="1523"/>
      <c r="H2" s="1523"/>
      <c r="I2" s="1523"/>
      <c r="J2" s="1523"/>
      <c r="K2" s="1523"/>
      <c r="L2" s="1524"/>
      <c r="M2" s="1524"/>
      <c r="N2" s="1524"/>
      <c r="O2" s="1525"/>
      <c r="P2" s="1526"/>
      <c r="Q2" s="1525"/>
      <c r="R2" s="1525"/>
      <c r="S2" s="1526"/>
      <c r="T2" s="1526"/>
      <c r="U2" s="1634"/>
      <c r="Y2" s="1591"/>
    </row>
    <row r="3" spans="2:25" s="4" customFormat="1" ht="7.15" customHeight="1" thickBot="1" x14ac:dyDescent="0.3">
      <c r="Y3" s="1591"/>
    </row>
    <row r="4" spans="2:25" s="319" customFormat="1" ht="19.5" thickBot="1" x14ac:dyDescent="0.35">
      <c r="B4" s="1280" t="s">
        <v>251</v>
      </c>
      <c r="C4" s="1281" t="s">
        <v>1276</v>
      </c>
      <c r="D4" s="1282"/>
      <c r="E4" s="1282"/>
      <c r="F4" s="1282"/>
      <c r="G4" s="1283"/>
      <c r="H4" s="1284"/>
      <c r="I4" s="1285"/>
      <c r="J4" s="1285"/>
      <c r="K4" s="1285"/>
      <c r="L4" s="1286"/>
      <c r="M4" s="1286"/>
      <c r="N4" s="1286"/>
      <c r="O4" s="1286"/>
      <c r="P4" s="1286"/>
      <c r="Q4" s="1286"/>
      <c r="R4" s="1286"/>
      <c r="S4" s="1286"/>
      <c r="T4" s="1286"/>
      <c r="U4" s="1287"/>
      <c r="Y4" s="1632"/>
    </row>
    <row r="5" spans="2:25" s="319" customFormat="1" ht="6" customHeight="1" x14ac:dyDescent="0.3">
      <c r="Y5" s="1632"/>
    </row>
    <row r="6" spans="2:25" s="319" customFormat="1" ht="7.5" customHeight="1" x14ac:dyDescent="0.3">
      <c r="Y6" s="1632"/>
    </row>
    <row r="7" spans="2:25" s="122" customFormat="1" ht="15.75" x14ac:dyDescent="0.25">
      <c r="C7" s="725" t="s">
        <v>1156</v>
      </c>
      <c r="D7" s="1703">
        <v>1</v>
      </c>
      <c r="E7" s="1703">
        <f>D7+1</f>
        <v>2</v>
      </c>
      <c r="F7" s="1703">
        <f t="shared" ref="F7:K7" si="0">E7+1</f>
        <v>3</v>
      </c>
      <c r="G7" s="1703">
        <f t="shared" si="0"/>
        <v>4</v>
      </c>
      <c r="H7" s="1703">
        <f t="shared" si="0"/>
        <v>5</v>
      </c>
      <c r="I7" s="1703">
        <f t="shared" si="0"/>
        <v>6</v>
      </c>
      <c r="J7" s="1703">
        <f t="shared" si="0"/>
        <v>7</v>
      </c>
      <c r="K7" s="1703">
        <f t="shared" si="0"/>
        <v>8</v>
      </c>
      <c r="L7" s="221"/>
      <c r="M7" s="221"/>
      <c r="N7" s="221"/>
      <c r="O7" s="221"/>
      <c r="P7" s="221"/>
      <c r="Q7" s="221"/>
      <c r="R7" s="221"/>
      <c r="S7" s="221"/>
      <c r="T7" s="221"/>
      <c r="U7" s="221"/>
      <c r="Y7" s="1633"/>
    </row>
    <row r="8" spans="2:25" s="122" customFormat="1" ht="15.75" x14ac:dyDescent="0.25">
      <c r="C8" s="1832"/>
      <c r="D8" s="1833" t="str">
        <f>Sales!D8</f>
        <v>2008</v>
      </c>
      <c r="E8" s="1833" t="str">
        <f>Sales!E8</f>
        <v>2009</v>
      </c>
      <c r="F8" s="1833" t="str">
        <f>Sales!F8</f>
        <v>2010</v>
      </c>
      <c r="G8" s="1833" t="str">
        <f>Sales!G8</f>
        <v>2011</v>
      </c>
      <c r="H8" s="1833" t="str">
        <f>Sales!H8</f>
        <v>2012</v>
      </c>
      <c r="I8" s="1833" t="str">
        <f>Sales!I8</f>
        <v>2013</v>
      </c>
      <c r="J8" s="1833" t="str">
        <f>Sales!J8</f>
        <v>2014</v>
      </c>
      <c r="K8" s="1838" t="str">
        <f>Sales!K8</f>
        <v>2015</v>
      </c>
      <c r="L8" s="1839">
        <f>K8+1</f>
        <v>2016</v>
      </c>
      <c r="M8" s="1833">
        <f t="shared" ref="M8:U8" si="1">L8+1</f>
        <v>2017</v>
      </c>
      <c r="N8" s="1833">
        <f t="shared" si="1"/>
        <v>2018</v>
      </c>
      <c r="O8" s="1833">
        <f t="shared" si="1"/>
        <v>2019</v>
      </c>
      <c r="P8" s="1833">
        <f t="shared" si="1"/>
        <v>2020</v>
      </c>
      <c r="Q8" s="1833">
        <f t="shared" si="1"/>
        <v>2021</v>
      </c>
      <c r="R8" s="1833">
        <f t="shared" si="1"/>
        <v>2022</v>
      </c>
      <c r="S8" s="1833">
        <f t="shared" si="1"/>
        <v>2023</v>
      </c>
      <c r="T8" s="1833">
        <f t="shared" si="1"/>
        <v>2024</v>
      </c>
      <c r="U8" s="1833">
        <f t="shared" si="1"/>
        <v>2025</v>
      </c>
      <c r="Y8" s="1633"/>
    </row>
    <row r="9" spans="2:25" s="730" customFormat="1" ht="15.75" x14ac:dyDescent="0.25">
      <c r="C9" s="1842" t="s">
        <v>39</v>
      </c>
      <c r="D9" s="1834">
        <f>+Mali!C4</f>
        <v>4493.6549999999997</v>
      </c>
      <c r="E9" s="1834">
        <f>+Mali!D4</f>
        <v>4157.9549999999999</v>
      </c>
      <c r="F9" s="1834">
        <f>+Mali!E4</f>
        <v>4748.4390000000003</v>
      </c>
      <c r="G9" s="1834">
        <f>+Mali!F4</f>
        <v>6033.8490000000002</v>
      </c>
      <c r="H9" s="1834">
        <f>+Mali!G4</f>
        <v>6736.6779999999999</v>
      </c>
      <c r="I9" s="1834">
        <f>+Mali!H4</f>
        <v>7659.1180000000004</v>
      </c>
      <c r="J9" s="1834">
        <f>+Mali!I4</f>
        <v>8471.7569999999996</v>
      </c>
      <c r="K9" s="1835">
        <f>+Mali!J4</f>
        <v>9406.2520000000004</v>
      </c>
      <c r="L9" s="1840">
        <f>+PBL!F5</f>
        <v>10658.380556469867</v>
      </c>
      <c r="M9" s="1834">
        <f>+PBL!G5</f>
        <v>11828.306391260679</v>
      </c>
      <c r="N9" s="1834">
        <f>+PBL!H5</f>
        <v>13009.807348941573</v>
      </c>
      <c r="O9" s="1834">
        <f>+PBL!I5</f>
        <v>14313.642189764783</v>
      </c>
      <c r="P9" s="1834">
        <f>+PBL!J5</f>
        <v>15752.727173649266</v>
      </c>
      <c r="Q9" s="1834">
        <f>+PBL!K5</f>
        <v>17246.392885962108</v>
      </c>
      <c r="R9" s="1834">
        <f>+PBL!L5</f>
        <v>18596.39957190958</v>
      </c>
      <c r="S9" s="1834">
        <f>+PBL!M5</f>
        <v>19930.668408130387</v>
      </c>
      <c r="T9" s="1834">
        <f>+PBL!N5</f>
        <v>21225.785547015366</v>
      </c>
      <c r="U9" s="1834">
        <f>+PBL!O5</f>
        <v>22606.924498762732</v>
      </c>
      <c r="Y9" s="1702"/>
    </row>
    <row r="10" spans="2:25" s="730" customFormat="1" ht="15.75" x14ac:dyDescent="0.25">
      <c r="C10" s="1842" t="s">
        <v>1291</v>
      </c>
      <c r="D10" s="1834">
        <f>+Mali!C25</f>
        <v>3061.056</v>
      </c>
      <c r="E10" s="1834">
        <f>+Mali!D25</f>
        <v>3179.663</v>
      </c>
      <c r="F10" s="1834">
        <f>+Mali!E25</f>
        <v>2341.989</v>
      </c>
      <c r="G10" s="1834">
        <f>+Mali!F25</f>
        <v>3530.62</v>
      </c>
      <c r="H10" s="1834">
        <f>+Mali!G25</f>
        <v>3949.7620000000002</v>
      </c>
      <c r="I10" s="1834">
        <f>+Mali!H25</f>
        <v>4091.143</v>
      </c>
      <c r="J10" s="1834">
        <f>+Mali!I25</f>
        <v>4430.8029999999999</v>
      </c>
      <c r="K10" s="1835">
        <f>+Mali!J25</f>
        <v>5236.2969999999996</v>
      </c>
      <c r="L10" s="1840">
        <f>+PBL!F19</f>
        <v>5947.2431829303259</v>
      </c>
      <c r="M10" s="1834">
        <f>+PBL!G19</f>
        <v>6600.0471814955845</v>
      </c>
      <c r="N10" s="1834">
        <f>+PBL!H19</f>
        <v>7259.3099540119965</v>
      </c>
      <c r="O10" s="1834">
        <f>+PBL!I19</f>
        <v>7986.8335048619329</v>
      </c>
      <c r="P10" s="1834">
        <f>+PBL!J19</f>
        <v>8789.8249457022721</v>
      </c>
      <c r="Q10" s="1834">
        <f>+PBL!K19</f>
        <v>9623.2717510649345</v>
      </c>
      <c r="R10" s="1834">
        <f>+PBL!L19</f>
        <v>10376.558614615493</v>
      </c>
      <c r="S10" s="1834">
        <f>+PBL!M19</f>
        <v>11121.063954649888</v>
      </c>
      <c r="T10" s="1834">
        <f>+PBL!N19</f>
        <v>11843.72313673871</v>
      </c>
      <c r="U10" s="1834">
        <f>+PBL!O19</f>
        <v>12614.381415633903</v>
      </c>
      <c r="Y10" s="1702"/>
    </row>
    <row r="11" spans="2:25" s="730" customFormat="1" ht="15.75" x14ac:dyDescent="0.25">
      <c r="C11" s="1843" t="s">
        <v>1292</v>
      </c>
      <c r="D11" s="1836">
        <f>+D9/D10</f>
        <v>1.468008099165778</v>
      </c>
      <c r="E11" s="1836">
        <f t="shared" ref="E11:K11" si="2">+E9/E10</f>
        <v>1.3076715991600367</v>
      </c>
      <c r="F11" s="1836">
        <f t="shared" si="2"/>
        <v>2.0275240404630424</v>
      </c>
      <c r="G11" s="1836">
        <f t="shared" si="2"/>
        <v>1.7090055004503459</v>
      </c>
      <c r="H11" s="1836">
        <f t="shared" si="2"/>
        <v>1.7055908685130901</v>
      </c>
      <c r="I11" s="1836">
        <f t="shared" si="2"/>
        <v>1.8721218006801523</v>
      </c>
      <c r="J11" s="1836">
        <f t="shared" si="2"/>
        <v>1.9120139171161525</v>
      </c>
      <c r="K11" s="1837">
        <f t="shared" si="2"/>
        <v>1.7963557070960645</v>
      </c>
      <c r="L11" s="1841">
        <f t="shared" ref="L11" si="3">+L9/L10</f>
        <v>1.7921548234417866</v>
      </c>
      <c r="M11" s="1836">
        <f t="shared" ref="M11" si="4">+M9/M10</f>
        <v>1.7921548234417863</v>
      </c>
      <c r="N11" s="1836">
        <f t="shared" ref="N11" si="5">+N9/N10</f>
        <v>1.7921548234417866</v>
      </c>
      <c r="O11" s="1836">
        <f t="shared" ref="O11" si="6">+O9/O10</f>
        <v>1.7921548234417866</v>
      </c>
      <c r="P11" s="1836">
        <f t="shared" ref="P11" si="7">+P9/P10</f>
        <v>1.7921548234417866</v>
      </c>
      <c r="Q11" s="1836">
        <f t="shared" ref="Q11" si="8">+Q9/Q10</f>
        <v>1.7921548234417863</v>
      </c>
      <c r="R11" s="1836">
        <f t="shared" ref="R11" si="9">+R9/R10</f>
        <v>1.7921548234417868</v>
      </c>
      <c r="S11" s="1836">
        <f t="shared" ref="S11" si="10">+S9/S10</f>
        <v>1.7921548234417866</v>
      </c>
      <c r="T11" s="1836">
        <f t="shared" ref="T11" si="11">+T9/T10</f>
        <v>1.7921548234417866</v>
      </c>
      <c r="U11" s="1836">
        <f t="shared" ref="U11" si="12">+U9/U10</f>
        <v>1.7921548234417866</v>
      </c>
      <c r="Y11" s="1702"/>
    </row>
    <row r="12" spans="2:25" s="730" customFormat="1" ht="15.75" x14ac:dyDescent="0.25">
      <c r="Y12" s="1702"/>
    </row>
    <row r="13" spans="2:25" s="122" customFormat="1" ht="16.5" thickBot="1" x14ac:dyDescent="0.3">
      <c r="C13" s="1644" t="s">
        <v>1292</v>
      </c>
      <c r="D13" s="1645"/>
      <c r="E13" s="890"/>
      <c r="F13" s="890"/>
      <c r="G13" s="890"/>
      <c r="H13" s="890"/>
      <c r="I13" s="890"/>
      <c r="J13" s="890"/>
      <c r="K13" s="890"/>
      <c r="L13" s="890"/>
      <c r="M13" s="890"/>
      <c r="N13" s="890"/>
      <c r="O13" s="890"/>
      <c r="P13" s="890"/>
      <c r="Q13" s="890"/>
      <c r="R13" s="890"/>
      <c r="Y13" s="1633"/>
    </row>
    <row r="14" spans="2:25" s="122" customFormat="1" ht="16.5" thickBot="1" x14ac:dyDescent="0.3">
      <c r="C14" s="1646" t="s">
        <v>1357</v>
      </c>
      <c r="D14" s="1704">
        <f>MIN(D11:K11)</f>
        <v>1.3076715991600367</v>
      </c>
      <c r="E14" s="890"/>
      <c r="F14" s="890"/>
      <c r="G14" s="890"/>
      <c r="H14" s="890"/>
      <c r="I14" s="891">
        <f>+L8</f>
        <v>2016</v>
      </c>
      <c r="J14" s="891">
        <f t="shared" ref="J14:R14" si="13">I14+1</f>
        <v>2017</v>
      </c>
      <c r="K14" s="891">
        <f t="shared" si="13"/>
        <v>2018</v>
      </c>
      <c r="L14" s="891">
        <f t="shared" si="13"/>
        <v>2019</v>
      </c>
      <c r="M14" s="891">
        <f t="shared" si="13"/>
        <v>2020</v>
      </c>
      <c r="N14" s="891">
        <f t="shared" si="13"/>
        <v>2021</v>
      </c>
      <c r="O14" s="891">
        <f t="shared" si="13"/>
        <v>2022</v>
      </c>
      <c r="P14" s="891">
        <f t="shared" si="13"/>
        <v>2023</v>
      </c>
      <c r="Q14" s="891">
        <f t="shared" si="13"/>
        <v>2024</v>
      </c>
      <c r="R14" s="891">
        <f t="shared" si="13"/>
        <v>2025</v>
      </c>
      <c r="S14" s="892" t="s">
        <v>267</v>
      </c>
      <c r="Y14" s="1633"/>
    </row>
    <row r="15" spans="2:25" s="122" customFormat="1" ht="15.75" x14ac:dyDescent="0.25">
      <c r="C15" s="1647" t="s">
        <v>1358</v>
      </c>
      <c r="D15" s="1705">
        <f>MAX(D11:K11)</f>
        <v>2.0275240404630424</v>
      </c>
      <c r="E15" s="890"/>
      <c r="F15" s="890"/>
      <c r="G15" s="890"/>
      <c r="H15" s="893" t="s">
        <v>1292</v>
      </c>
      <c r="I15" s="1707">
        <f>+D18</f>
        <v>1.7921548234417866</v>
      </c>
      <c r="J15" s="1708">
        <f>I15</f>
        <v>1.7921548234417866</v>
      </c>
      <c r="K15" s="1708">
        <f>J15</f>
        <v>1.7921548234417866</v>
      </c>
      <c r="L15" s="1708">
        <f>K15</f>
        <v>1.7921548234417866</v>
      </c>
      <c r="M15" s="1708">
        <f>L15</f>
        <v>1.7921548234417866</v>
      </c>
      <c r="N15" s="1708">
        <f>M15-($M$15-$R$15)/5</f>
        <v>1.7921548234417866</v>
      </c>
      <c r="O15" s="1708">
        <f t="shared" ref="O15:Q15" si="14">N15-($M$15-$R$15)/5</f>
        <v>1.7921548234417866</v>
      </c>
      <c r="P15" s="1708">
        <f t="shared" si="14"/>
        <v>1.7921548234417866</v>
      </c>
      <c r="Q15" s="1708">
        <f t="shared" si="14"/>
        <v>1.7921548234417866</v>
      </c>
      <c r="R15" s="1708">
        <f>+D18</f>
        <v>1.7921548234417866</v>
      </c>
      <c r="S15" s="1531"/>
      <c r="Y15" s="1633"/>
    </row>
    <row r="16" spans="2:25" s="122" customFormat="1" ht="16.5" thickBot="1" x14ac:dyDescent="0.3">
      <c r="C16" s="1647" t="s">
        <v>1359</v>
      </c>
      <c r="D16" s="1705">
        <f>AVERAGE(D11:K11)</f>
        <v>1.7247864415805827</v>
      </c>
      <c r="E16" s="890"/>
      <c r="F16" s="890"/>
      <c r="G16" s="890"/>
      <c r="H16" s="897" t="s">
        <v>1293</v>
      </c>
      <c r="I16" s="898">
        <f t="shared" ref="I16:R16" si="15">I15*L9</f>
        <v>19101.468124355626</v>
      </c>
      <c r="J16" s="899">
        <f t="shared" si="15"/>
        <v>21198.15635224514</v>
      </c>
      <c r="K16" s="899">
        <f t="shared" si="15"/>
        <v>23315.588992454042</v>
      </c>
      <c r="L16" s="899">
        <f t="shared" si="15"/>
        <v>25652.262891406812</v>
      </c>
      <c r="M16" s="899">
        <f t="shared" si="15"/>
        <v>28231.325986618034</v>
      </c>
      <c r="N16" s="899">
        <f t="shared" si="15"/>
        <v>30908.206197549105</v>
      </c>
      <c r="O16" s="899">
        <f t="shared" si="15"/>
        <v>33327.627191448526</v>
      </c>
      <c r="P16" s="899">
        <f t="shared" si="15"/>
        <v>35718.843522049705</v>
      </c>
      <c r="Q16" s="899">
        <f t="shared" si="15"/>
        <v>38039.89394942455</v>
      </c>
      <c r="R16" s="899">
        <f t="shared" si="15"/>
        <v>40515.108783641925</v>
      </c>
      <c r="S16" s="900"/>
      <c r="Y16" s="1633"/>
    </row>
    <row r="17" spans="3:25" s="122" customFormat="1" ht="15.75" x14ac:dyDescent="0.25">
      <c r="C17" s="1647" t="s">
        <v>1360</v>
      </c>
      <c r="D17" s="1705">
        <f>MEDIAN(D11:K11)</f>
        <v>1.7526806037732052</v>
      </c>
      <c r="E17" s="890"/>
      <c r="F17" s="890"/>
      <c r="G17" s="890"/>
      <c r="H17" s="890"/>
      <c r="I17" s="890"/>
      <c r="J17" s="890"/>
      <c r="K17" s="890"/>
      <c r="L17" s="890"/>
      <c r="M17" s="890"/>
      <c r="N17" s="890"/>
      <c r="O17" s="890"/>
      <c r="P17" s="890"/>
      <c r="Q17" s="890"/>
      <c r="R17" s="890"/>
      <c r="Y17" s="1633"/>
    </row>
    <row r="18" spans="3:25" s="122" customFormat="1" ht="15.75" x14ac:dyDescent="0.25">
      <c r="C18" s="1648" t="s">
        <v>1361</v>
      </c>
      <c r="D18" s="1706">
        <f>SUMPRODUCT(D11:K11,D7:K7)/SUM(D7:K7)</f>
        <v>1.7921548234417866</v>
      </c>
      <c r="E18" s="949"/>
      <c r="F18" s="942"/>
      <c r="G18" s="942"/>
      <c r="H18" s="942"/>
      <c r="I18" s="942"/>
      <c r="J18" s="942"/>
      <c r="K18" s="942"/>
      <c r="L18" s="942"/>
      <c r="M18" s="942"/>
      <c r="N18" s="942"/>
      <c r="O18" s="1036"/>
      <c r="P18" s="730"/>
      <c r="Q18" s="730"/>
      <c r="R18" s="730"/>
      <c r="S18" s="730"/>
      <c r="Y18" s="1633"/>
    </row>
    <row r="19" spans="3:25" s="122" customFormat="1" ht="15.75" x14ac:dyDescent="0.25">
      <c r="Y19" s="1633"/>
    </row>
    <row r="20" spans="3:25" s="122" customFormat="1" ht="15.75" x14ac:dyDescent="0.25">
      <c r="C20" s="1794" t="s">
        <v>1294</v>
      </c>
      <c r="D20" s="1795"/>
      <c r="E20" s="1795"/>
      <c r="F20" s="1795"/>
      <c r="G20" s="1795"/>
      <c r="H20" s="1795"/>
      <c r="I20" s="1795"/>
      <c r="J20" s="1795"/>
      <c r="K20" s="1795"/>
      <c r="L20" s="1794">
        <f>+L8</f>
        <v>2016</v>
      </c>
      <c r="M20" s="1795">
        <f t="shared" ref="M20:U20" si="16">+M8</f>
        <v>2017</v>
      </c>
      <c r="N20" s="1795">
        <f t="shared" si="16"/>
        <v>2018</v>
      </c>
      <c r="O20" s="1795">
        <f t="shared" si="16"/>
        <v>2019</v>
      </c>
      <c r="P20" s="1795">
        <f t="shared" si="16"/>
        <v>2020</v>
      </c>
      <c r="Q20" s="1795">
        <f t="shared" si="16"/>
        <v>2021</v>
      </c>
      <c r="R20" s="1795">
        <f t="shared" si="16"/>
        <v>2022</v>
      </c>
      <c r="S20" s="1795">
        <f t="shared" si="16"/>
        <v>2023</v>
      </c>
      <c r="T20" s="1795">
        <f t="shared" si="16"/>
        <v>2024</v>
      </c>
      <c r="U20" s="1796">
        <f t="shared" si="16"/>
        <v>2025</v>
      </c>
      <c r="Y20" s="1633"/>
    </row>
    <row r="21" spans="3:25" s="122" customFormat="1" ht="15.75" x14ac:dyDescent="0.25">
      <c r="C21" s="1797" t="s">
        <v>907</v>
      </c>
      <c r="D21" s="730"/>
      <c r="E21" s="730"/>
      <c r="F21" s="730"/>
      <c r="G21" s="730"/>
      <c r="H21" s="730"/>
      <c r="I21" s="730"/>
      <c r="J21" s="730"/>
      <c r="K21" s="730"/>
      <c r="L21" s="1798">
        <f>+SUM(PBL!F7:F10)+PBL!F11</f>
        <v>15106.974718724634</v>
      </c>
      <c r="M21" s="1702">
        <f>+SUM(PBL!G7:G10)+PBL!G11</f>
        <v>16608.847313462426</v>
      </c>
      <c r="N21" s="1702">
        <f>+SUM(PBL!H7:H10)+PBL!H11</f>
        <v>18158.737472798042</v>
      </c>
      <c r="O21" s="1702">
        <f>+SUM(PBL!I7:I10)+PBL!I11</f>
        <v>19871.501949399964</v>
      </c>
      <c r="P21" s="1702">
        <f>+SUM(PBL!J7:J10)+PBL!J11</f>
        <v>21763.996874841934</v>
      </c>
      <c r="Q21" s="1702">
        <f>+SUM(PBL!K7:K10)+PBL!K11</f>
        <v>23673.582050776859</v>
      </c>
      <c r="R21" s="1702">
        <f>+SUM(PBL!L7:L10)+PBL!L11</f>
        <v>25382.437518268664</v>
      </c>
      <c r="S21" s="1702">
        <f>+SUM(PBL!M7:M10)+PBL!M11</f>
        <v>27010.931923896584</v>
      </c>
      <c r="T21" s="1702">
        <f>+SUM(PBL!N7:N10)+PBL!N11</f>
        <v>28526.960300213217</v>
      </c>
      <c r="U21" s="1799">
        <f>+SUM(PBL!O7:O10)+PBL!O11</f>
        <v>30053.511643071404</v>
      </c>
      <c r="Y21" s="1633"/>
    </row>
    <row r="22" spans="3:25" s="122" customFormat="1" ht="15.75" x14ac:dyDescent="0.25">
      <c r="C22" s="1797" t="s">
        <v>909</v>
      </c>
      <c r="D22" s="730"/>
      <c r="E22" s="730"/>
      <c r="F22" s="730"/>
      <c r="G22" s="730"/>
      <c r="H22" s="730"/>
      <c r="I22" s="730"/>
      <c r="J22" s="730"/>
      <c r="K22" s="730"/>
      <c r="L22" s="1798">
        <f ca="1">+SUM(PBL!F21:F22)+SUM(PBL!F25:F27)+PBL!F28</f>
        <v>8847.0157407941133</v>
      </c>
      <c r="M22" s="1702">
        <f ca="1">+SUM(PBL!G21:G22)+SUM(PBL!G25:G27)+PBL!G28</f>
        <v>9627.0298254593981</v>
      </c>
      <c r="N22" s="1702">
        <f ca="1">+SUM(PBL!H21:H22)+SUM(PBL!H25:H27)+PBL!H28</f>
        <v>10442.858439955507</v>
      </c>
      <c r="O22" s="1702">
        <f ca="1">+SUM(PBL!I21:I22)+SUM(PBL!I25:I27)+PBL!I28</f>
        <v>11338.306634176359</v>
      </c>
      <c r="P22" s="1702">
        <f ca="1">+SUM(PBL!J21:J22)+SUM(PBL!J25:J27)+PBL!J28</f>
        <v>12320.922327652781</v>
      </c>
      <c r="Q22" s="1702">
        <f ca="1">+SUM(PBL!K21:K22)+SUM(PBL!K25:K27)+PBL!K28</f>
        <v>13359.965409368458</v>
      </c>
      <c r="R22" s="1702">
        <f ca="1">+SUM(PBL!L21:L22)+SUM(PBL!L25:L27)+PBL!L28</f>
        <v>14367.569492140301</v>
      </c>
      <c r="S22" s="1702">
        <f ca="1">+SUM(PBL!M21:M22)+SUM(PBL!M25:M27)+PBL!M28</f>
        <v>15398.740476590468</v>
      </c>
      <c r="T22" s="1702">
        <f ca="1">+SUM(PBL!N21:N22)+SUM(PBL!N25:N27)+PBL!N28</f>
        <v>16444.390651707188</v>
      </c>
      <c r="U22" s="1799">
        <f ca="1">+SUM(PBL!O21:O22)+SUM(PBL!O25:O27)+PBL!O28</f>
        <v>17558.677648563807</v>
      </c>
      <c r="Y22" s="1633"/>
    </row>
    <row r="23" spans="3:25" s="122" customFormat="1" ht="15.75" x14ac:dyDescent="0.25">
      <c r="C23" s="1800" t="s">
        <v>1297</v>
      </c>
      <c r="D23" s="725"/>
      <c r="E23" s="725"/>
      <c r="F23" s="725"/>
      <c r="G23" s="725"/>
      <c r="H23" s="725"/>
      <c r="I23" s="725"/>
      <c r="J23" s="725"/>
      <c r="K23" s="725"/>
      <c r="L23" s="1801">
        <f ca="1">+L21-L22</f>
        <v>6261.689606312053</v>
      </c>
      <c r="M23" s="1802">
        <f t="shared" ref="M23:U23" ca="1" si="17">+M21-M22</f>
        <v>6983.0158895808308</v>
      </c>
      <c r="N23" s="1802">
        <f t="shared" ca="1" si="17"/>
        <v>7716.5399418207126</v>
      </c>
      <c r="O23" s="1802">
        <f t="shared" ca="1" si="17"/>
        <v>8533.2630790388321</v>
      </c>
      <c r="P23" s="1802">
        <f t="shared" ca="1" si="17"/>
        <v>9442.4876373673869</v>
      </c>
      <c r="Q23" s="1802">
        <f t="shared" ca="1" si="17"/>
        <v>10310.661992861249</v>
      </c>
      <c r="R23" s="1802">
        <f t="shared" ca="1" si="17"/>
        <v>11009.332135559696</v>
      </c>
      <c r="S23" s="1802">
        <f t="shared" ca="1" si="17"/>
        <v>11603.804509019574</v>
      </c>
      <c r="T23" s="1802">
        <f t="shared" ca="1" si="17"/>
        <v>12071.083769755238</v>
      </c>
      <c r="U23" s="1803">
        <f t="shared" ca="1" si="17"/>
        <v>12479.890753919772</v>
      </c>
      <c r="Y23" s="1633"/>
    </row>
    <row r="24" spans="3:25" s="122" customFormat="1" ht="15.75" x14ac:dyDescent="0.25">
      <c r="C24" s="1797" t="s">
        <v>1295</v>
      </c>
      <c r="D24" s="730"/>
      <c r="E24" s="730"/>
      <c r="F24" s="730"/>
      <c r="G24" s="730"/>
      <c r="H24" s="730"/>
      <c r="I24" s="730"/>
      <c r="J24" s="730"/>
      <c r="K24" s="730"/>
      <c r="L24" s="1798">
        <f ca="1">+IF(L23&gt;0,L23,0)</f>
        <v>6261.689606312053</v>
      </c>
      <c r="M24" s="1702">
        <f t="shared" ref="M24:U24" ca="1" si="18">+IF(M23&gt;0,M23,0)</f>
        <v>6983.0158895808308</v>
      </c>
      <c r="N24" s="1702">
        <f t="shared" ca="1" si="18"/>
        <v>7716.5399418207126</v>
      </c>
      <c r="O24" s="1702">
        <f t="shared" ca="1" si="18"/>
        <v>8533.2630790388321</v>
      </c>
      <c r="P24" s="1702">
        <f t="shared" ca="1" si="18"/>
        <v>9442.4876373673869</v>
      </c>
      <c r="Q24" s="1702">
        <f t="shared" ca="1" si="18"/>
        <v>10310.661992861249</v>
      </c>
      <c r="R24" s="1702">
        <f t="shared" ca="1" si="18"/>
        <v>11009.332135559696</v>
      </c>
      <c r="S24" s="1702">
        <f t="shared" ca="1" si="18"/>
        <v>11603.804509019574</v>
      </c>
      <c r="T24" s="1702">
        <f t="shared" ca="1" si="18"/>
        <v>12071.083769755238</v>
      </c>
      <c r="U24" s="1799">
        <f t="shared" ca="1" si="18"/>
        <v>12479.890753919772</v>
      </c>
      <c r="Y24" s="1633"/>
    </row>
    <row r="25" spans="3:25" s="122" customFormat="1" ht="15.75" x14ac:dyDescent="0.25">
      <c r="C25" s="1800" t="s">
        <v>1296</v>
      </c>
      <c r="D25" s="725"/>
      <c r="E25" s="725"/>
      <c r="F25" s="725"/>
      <c r="G25" s="725"/>
      <c r="H25" s="725"/>
      <c r="I25" s="725"/>
      <c r="J25" s="725"/>
      <c r="K25" s="725"/>
      <c r="L25" s="1801">
        <f t="shared" ref="L25:U25" si="19">+L9/I15</f>
        <v>5947.2431829303259</v>
      </c>
      <c r="M25" s="1802">
        <f t="shared" si="19"/>
        <v>6600.0471814955845</v>
      </c>
      <c r="N25" s="1802">
        <f t="shared" si="19"/>
        <v>7259.3099540119965</v>
      </c>
      <c r="O25" s="1802">
        <f t="shared" si="19"/>
        <v>7986.8335048619329</v>
      </c>
      <c r="P25" s="1802">
        <f t="shared" si="19"/>
        <v>8789.8249457022721</v>
      </c>
      <c r="Q25" s="1802">
        <f t="shared" si="19"/>
        <v>9623.2717510649345</v>
      </c>
      <c r="R25" s="1802">
        <f t="shared" si="19"/>
        <v>10376.558614615495</v>
      </c>
      <c r="S25" s="1802">
        <f t="shared" si="19"/>
        <v>11121.063954649888</v>
      </c>
      <c r="T25" s="1802">
        <f t="shared" si="19"/>
        <v>11843.72313673871</v>
      </c>
      <c r="U25" s="1803">
        <f t="shared" si="19"/>
        <v>12614.381415633903</v>
      </c>
      <c r="Y25" s="1633"/>
    </row>
    <row r="26" spans="3:25" s="975" customFormat="1" ht="15.75" x14ac:dyDescent="0.25">
      <c r="C26" s="1794" t="s">
        <v>1300</v>
      </c>
      <c r="D26" s="1795"/>
      <c r="E26" s="1795"/>
      <c r="F26" s="1795"/>
      <c r="G26" s="1795"/>
      <c r="H26" s="1795"/>
      <c r="I26" s="1795"/>
      <c r="J26" s="1795"/>
      <c r="K26" s="1795"/>
      <c r="L26" s="1804">
        <f>+L25-SUM(PBL!F21:F22)</f>
        <v>2570.148972492987</v>
      </c>
      <c r="M26" s="1805">
        <f>+M25-SUM(PBL!G21:G22)</f>
        <v>2821.8661674210089</v>
      </c>
      <c r="N26" s="1805">
        <f>+N25-SUM(PBL!H21:H22)</f>
        <v>3076.0738257426856</v>
      </c>
      <c r="O26" s="1805">
        <f>+O25-SUM(PBL!I21:I22)</f>
        <v>3356.6024191129864</v>
      </c>
      <c r="P26" s="1805">
        <f>+P25-SUM(PBL!J21:J22)</f>
        <v>3666.2309653286629</v>
      </c>
      <c r="Q26" s="1805">
        <f>+Q25-SUM(PBL!K21:K22)</f>
        <v>3968.1020098596091</v>
      </c>
      <c r="R26" s="1805">
        <f>+R25-SUM(PBL!L21:L22)</f>
        <v>4235.8427797034419</v>
      </c>
      <c r="S26" s="1805">
        <f>+S25-SUM(PBL!M21:M22)</f>
        <v>4496.9982067241554</v>
      </c>
      <c r="T26" s="1805">
        <f>+T25-SUM(PBL!N21:N22)</f>
        <v>4746.660730028766</v>
      </c>
      <c r="U26" s="1806">
        <f>+U25-SUM(PBL!O21:O22)</f>
        <v>5011.143294168698</v>
      </c>
      <c r="Y26" s="1807"/>
    </row>
    <row r="27" spans="3:25" s="975" customFormat="1" ht="15.75" x14ac:dyDescent="0.25">
      <c r="C27" s="1794" t="s">
        <v>1301</v>
      </c>
      <c r="D27" s="1795"/>
      <c r="E27" s="1795"/>
      <c r="F27" s="1795"/>
      <c r="G27" s="1795"/>
      <c r="H27" s="1795"/>
      <c r="I27" s="1795"/>
      <c r="J27" s="1795"/>
      <c r="K27" s="1795"/>
      <c r="L27" s="1804">
        <f>+(L26+Mali!J26)/2</f>
        <v>2379.0769862464936</v>
      </c>
      <c r="M27" s="1805">
        <f>+(M26+L26)/2</f>
        <v>2696.0075699569979</v>
      </c>
      <c r="N27" s="1805">
        <f t="shared" ref="N27:U27" si="20">+(N26+M26)/2</f>
        <v>2948.9699965818472</v>
      </c>
      <c r="O27" s="1805">
        <f t="shared" si="20"/>
        <v>3216.338122427836</v>
      </c>
      <c r="P27" s="1805">
        <f t="shared" si="20"/>
        <v>3511.4166922208246</v>
      </c>
      <c r="Q27" s="1805">
        <f t="shared" si="20"/>
        <v>3817.166487594136</v>
      </c>
      <c r="R27" s="1805">
        <f t="shared" si="20"/>
        <v>4101.9723947815255</v>
      </c>
      <c r="S27" s="1805">
        <f t="shared" si="20"/>
        <v>4366.4204932137982</v>
      </c>
      <c r="T27" s="1805">
        <f t="shared" si="20"/>
        <v>4621.8294683764607</v>
      </c>
      <c r="U27" s="1806">
        <f t="shared" si="20"/>
        <v>4878.9020120987316</v>
      </c>
      <c r="Y27" s="1807"/>
    </row>
    <row r="28" spans="3:25" s="975" customFormat="1" ht="15.75" x14ac:dyDescent="0.25">
      <c r="C28" s="1794" t="s">
        <v>1303</v>
      </c>
      <c r="D28" s="1795"/>
      <c r="E28" s="1795"/>
      <c r="F28" s="1795"/>
      <c r="G28" s="1795"/>
      <c r="H28" s="1795"/>
      <c r="I28" s="1795"/>
      <c r="J28" s="1795"/>
      <c r="K28" s="1795"/>
      <c r="L28" s="1804">
        <f ca="1">+L23-L26</f>
        <v>3690.5749648049296</v>
      </c>
      <c r="M28" s="1805">
        <f t="shared" ref="M28:U28" ca="1" si="21">+M23-M26</f>
        <v>4160.4810290524365</v>
      </c>
      <c r="N28" s="1805">
        <f t="shared" ca="1" si="21"/>
        <v>4640.0973371257105</v>
      </c>
      <c r="O28" s="1805">
        <f t="shared" ca="1" si="21"/>
        <v>5176.622848563602</v>
      </c>
      <c r="P28" s="1805">
        <f t="shared" ca="1" si="21"/>
        <v>5776.5841603863209</v>
      </c>
      <c r="Q28" s="1805">
        <f t="shared" ca="1" si="21"/>
        <v>6344.2086399750788</v>
      </c>
      <c r="R28" s="1805">
        <f t="shared" ca="1" si="21"/>
        <v>6776.5783136272348</v>
      </c>
      <c r="S28" s="1805">
        <f t="shared" ca="1" si="21"/>
        <v>7111.4861090715067</v>
      </c>
      <c r="T28" s="1805">
        <f t="shared" ca="1" si="21"/>
        <v>7330.8320165629329</v>
      </c>
      <c r="U28" s="1806">
        <f t="shared" ca="1" si="21"/>
        <v>7477.0856012957465</v>
      </c>
      <c r="Y28" s="1807"/>
    </row>
    <row r="29" spans="3:25" s="975" customFormat="1" ht="15.75" x14ac:dyDescent="0.25">
      <c r="C29" s="1794" t="s">
        <v>1302</v>
      </c>
      <c r="D29" s="1795"/>
      <c r="E29" s="1795"/>
      <c r="F29" s="1795"/>
      <c r="G29" s="1795"/>
      <c r="H29" s="1795"/>
      <c r="I29" s="1795"/>
      <c r="J29" s="1795"/>
      <c r="K29" s="1795"/>
      <c r="L29" s="1804">
        <f ca="1">+(L28+Mali!J34)/2</f>
        <v>3479.7409824024649</v>
      </c>
      <c r="M29" s="1805">
        <f ca="1">+(M28+L28)/2</f>
        <v>3925.527996928683</v>
      </c>
      <c r="N29" s="1805">
        <f t="shared" ref="N29:U29" ca="1" si="22">+(N28+M28)/2</f>
        <v>4400.289183089073</v>
      </c>
      <c r="O29" s="1805">
        <f t="shared" ca="1" si="22"/>
        <v>4908.3600928446558</v>
      </c>
      <c r="P29" s="1805">
        <f t="shared" ca="1" si="22"/>
        <v>5476.6035044749615</v>
      </c>
      <c r="Q29" s="1805">
        <f t="shared" ca="1" si="22"/>
        <v>6060.3964001806999</v>
      </c>
      <c r="R29" s="1805">
        <f t="shared" ca="1" si="22"/>
        <v>6560.3934768011568</v>
      </c>
      <c r="S29" s="1805">
        <f t="shared" ca="1" si="22"/>
        <v>6944.0322113493712</v>
      </c>
      <c r="T29" s="1805">
        <f t="shared" ca="1" si="22"/>
        <v>7221.1590628172198</v>
      </c>
      <c r="U29" s="1806">
        <f t="shared" ca="1" si="22"/>
        <v>7403.9588089293393</v>
      </c>
      <c r="Y29" s="1807"/>
    </row>
    <row r="30" spans="3:25" s="122" customFormat="1" ht="15.75" x14ac:dyDescent="0.25">
      <c r="Y30" s="1633"/>
    </row>
    <row r="31" spans="3:25" s="122" customFormat="1" ht="15.75" x14ac:dyDescent="0.25">
      <c r="C31" s="1808" t="s">
        <v>1298</v>
      </c>
      <c r="D31" s="1809"/>
      <c r="E31" s="1809"/>
      <c r="F31" s="1809"/>
      <c r="G31" s="1809"/>
      <c r="H31" s="1809"/>
      <c r="I31" s="1809"/>
      <c r="J31" s="1809"/>
      <c r="K31" s="1809"/>
      <c r="L31" s="1810">
        <f>+Vars!L20+CoD!$F$13</f>
        <v>0.111</v>
      </c>
      <c r="M31" s="1811">
        <f>+Vars!M20+CoD!$F$13</f>
        <v>0.111</v>
      </c>
      <c r="N31" s="1811">
        <f>+Vars!N20+CoD!$F$13</f>
        <v>0.111</v>
      </c>
      <c r="O31" s="1811">
        <f>+Vars!O20+CoD!$F$13</f>
        <v>0.111</v>
      </c>
      <c r="P31" s="1811">
        <f>+Vars!P20+CoD!$F$13</f>
        <v>0.111</v>
      </c>
      <c r="Q31" s="1811">
        <f>+Vars!Q20+CoD!$F$13</f>
        <v>0.111</v>
      </c>
      <c r="R31" s="1811">
        <f>+Vars!R20+CoD!$F$13</f>
        <v>0.111</v>
      </c>
      <c r="S31" s="1811">
        <f>+Vars!S20+CoD!$F$13</f>
        <v>0.111</v>
      </c>
      <c r="T31" s="1811">
        <f>+Vars!T20+CoD!$F$13</f>
        <v>0.111</v>
      </c>
      <c r="U31" s="1812">
        <f>+Vars!U20+CoD!$F$13</f>
        <v>0.111</v>
      </c>
      <c r="Y31" s="1633"/>
    </row>
    <row r="32" spans="3:25" s="122" customFormat="1" ht="15.75" x14ac:dyDescent="0.25">
      <c r="C32" s="1813" t="s">
        <v>1299</v>
      </c>
      <c r="D32" s="1814"/>
      <c r="E32" s="1814"/>
      <c r="F32" s="1814"/>
      <c r="G32" s="1814"/>
      <c r="H32" s="1814"/>
      <c r="I32" s="1814"/>
      <c r="J32" s="1814"/>
      <c r="K32" s="1814"/>
      <c r="L32" s="1815">
        <f>+Vars!L19+CoD!$F$13</f>
        <v>0.10099999999999999</v>
      </c>
      <c r="M32" s="1816">
        <f>+Vars!M19+CoD!$F$13</f>
        <v>0.10099999999999999</v>
      </c>
      <c r="N32" s="1816">
        <f>+Vars!N19+CoD!$F$13</f>
        <v>0.10099999999999999</v>
      </c>
      <c r="O32" s="1816">
        <f>+Vars!O19+CoD!$F$13</f>
        <v>0.10099999999999999</v>
      </c>
      <c r="P32" s="1816">
        <f>+Vars!P19+CoD!$F$13</f>
        <v>0.10099999999999999</v>
      </c>
      <c r="Q32" s="1816">
        <f>+Vars!Q19+CoD!$F$13</f>
        <v>0.10099999999999999</v>
      </c>
      <c r="R32" s="1816">
        <f>+Vars!R19+CoD!$F$13</f>
        <v>0.10099999999999999</v>
      </c>
      <c r="S32" s="1816">
        <f>+Vars!S19+CoD!$F$13</f>
        <v>0.10099999999999999</v>
      </c>
      <c r="T32" s="1816">
        <f>+Vars!T19+CoD!$F$13</f>
        <v>0.10099999999999999</v>
      </c>
      <c r="U32" s="1817">
        <f>+Vars!U19+CoD!$F$13</f>
        <v>0.10099999999999999</v>
      </c>
      <c r="Y32" s="1633"/>
    </row>
    <row r="33" spans="3:25" s="122" customFormat="1" ht="15.75" x14ac:dyDescent="0.25">
      <c r="Y33" s="1633"/>
    </row>
    <row r="34" spans="3:25" s="122" customFormat="1" ht="15.75" x14ac:dyDescent="0.25">
      <c r="C34" s="1818" t="s">
        <v>1304</v>
      </c>
      <c r="D34" s="1819"/>
      <c r="E34" s="1819"/>
      <c r="F34" s="1819"/>
      <c r="G34" s="1819"/>
      <c r="H34" s="1819"/>
      <c r="I34" s="1819"/>
      <c r="J34" s="1819"/>
      <c r="K34" s="1819"/>
      <c r="L34" s="1820">
        <f>+L31*L27</f>
        <v>264.07754547336077</v>
      </c>
      <c r="M34" s="1821">
        <f t="shared" ref="M34:U34" si="23">+M31*M27</f>
        <v>299.2568402652268</v>
      </c>
      <c r="N34" s="1821">
        <f t="shared" si="23"/>
        <v>327.33566962058507</v>
      </c>
      <c r="O34" s="1821">
        <f t="shared" si="23"/>
        <v>357.01353158948979</v>
      </c>
      <c r="P34" s="1821">
        <f t="shared" si="23"/>
        <v>389.76725283651155</v>
      </c>
      <c r="Q34" s="1821">
        <f t="shared" si="23"/>
        <v>423.7054801229491</v>
      </c>
      <c r="R34" s="1821">
        <f t="shared" si="23"/>
        <v>455.31893582074935</v>
      </c>
      <c r="S34" s="1821">
        <f t="shared" si="23"/>
        <v>484.67267474673162</v>
      </c>
      <c r="T34" s="1821">
        <f t="shared" si="23"/>
        <v>513.02307098978713</v>
      </c>
      <c r="U34" s="1822">
        <f t="shared" si="23"/>
        <v>541.55812334295922</v>
      </c>
      <c r="Y34" s="1633"/>
    </row>
    <row r="35" spans="3:25" s="122" customFormat="1" ht="15.75" x14ac:dyDescent="0.25">
      <c r="C35" s="1823" t="s">
        <v>1305</v>
      </c>
      <c r="D35" s="1824"/>
      <c r="E35" s="1824"/>
      <c r="F35" s="1824"/>
      <c r="G35" s="1824"/>
      <c r="H35" s="1824"/>
      <c r="I35" s="1824"/>
      <c r="J35" s="1824"/>
      <c r="K35" s="1824"/>
      <c r="L35" s="1825">
        <f ca="1">+L32*L29</f>
        <v>351.45383922264892</v>
      </c>
      <c r="M35" s="1826">
        <f t="shared" ref="M35:U35" ca="1" si="24">+M32*M29</f>
        <v>396.47832768979697</v>
      </c>
      <c r="N35" s="1826">
        <f t="shared" ca="1" si="24"/>
        <v>444.42920749199635</v>
      </c>
      <c r="O35" s="1826">
        <f t="shared" ca="1" si="24"/>
        <v>495.74436937731019</v>
      </c>
      <c r="P35" s="1826">
        <f t="shared" ca="1" si="24"/>
        <v>553.13695395197112</v>
      </c>
      <c r="Q35" s="1826">
        <f t="shared" ca="1" si="24"/>
        <v>612.10003641825062</v>
      </c>
      <c r="R35" s="1826">
        <f t="shared" ca="1" si="24"/>
        <v>662.59974115691682</v>
      </c>
      <c r="S35" s="1826">
        <f t="shared" ca="1" si="24"/>
        <v>701.34725334628649</v>
      </c>
      <c r="T35" s="1826">
        <f t="shared" ca="1" si="24"/>
        <v>729.33706534453916</v>
      </c>
      <c r="U35" s="1827">
        <f t="shared" ca="1" si="24"/>
        <v>747.79983970186322</v>
      </c>
      <c r="Y35" s="1633"/>
    </row>
    <row r="36" spans="3:25" s="122" customFormat="1" ht="15.75" x14ac:dyDescent="0.25">
      <c r="C36" s="1813" t="s">
        <v>1306</v>
      </c>
      <c r="D36" s="1814"/>
      <c r="E36" s="1814"/>
      <c r="F36" s="1814"/>
      <c r="G36" s="1814"/>
      <c r="H36" s="1814"/>
      <c r="I36" s="1814"/>
      <c r="J36" s="1814"/>
      <c r="K36" s="1814"/>
      <c r="L36" s="1828">
        <f t="shared" ref="L36:U36" ca="1" si="25">+L35+L34</f>
        <v>615.58497932629427</v>
      </c>
      <c r="M36" s="1828">
        <f t="shared" ca="1" si="25"/>
        <v>695.8258750527682</v>
      </c>
      <c r="N36" s="1828">
        <f t="shared" ca="1" si="25"/>
        <v>771.82245681189488</v>
      </c>
      <c r="O36" s="1828">
        <f t="shared" ca="1" si="25"/>
        <v>852.78046672925802</v>
      </c>
      <c r="P36" s="1828">
        <f t="shared" ca="1" si="25"/>
        <v>942.88812971579557</v>
      </c>
      <c r="Q36" s="1828">
        <f t="shared" ca="1" si="25"/>
        <v>1035.6958404758823</v>
      </c>
      <c r="R36" s="1828">
        <f t="shared" ca="1" si="25"/>
        <v>1117.6557393593509</v>
      </c>
      <c r="S36" s="1828">
        <f t="shared" ca="1" si="25"/>
        <v>1185.5887616606558</v>
      </c>
      <c r="T36" s="1828">
        <f t="shared" ca="1" si="25"/>
        <v>1241.7447088438298</v>
      </c>
      <c r="U36" s="1829">
        <f t="shared" ca="1" si="25"/>
        <v>1288.5394979746698</v>
      </c>
      <c r="V36" s="1830" t="s">
        <v>1346</v>
      </c>
      <c r="Y36" s="1633"/>
    </row>
    <row r="37" spans="3:25" s="122" customFormat="1" ht="15.75" x14ac:dyDescent="0.25">
      <c r="Y37" s="1633"/>
    </row>
    <row r="38" spans="3:25" s="122" customFormat="1" ht="15.75" x14ac:dyDescent="0.25">
      <c r="Y38" s="1633"/>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1:Q35"/>
  <sheetViews>
    <sheetView zoomScale="85" zoomScaleNormal="85" workbookViewId="0">
      <selection activeCell="E7" sqref="E7"/>
    </sheetView>
  </sheetViews>
  <sheetFormatPr defaultColWidth="8.85546875" defaultRowHeight="15" x14ac:dyDescent="0.25"/>
  <cols>
    <col min="1" max="1" width="3.7109375" style="4" customWidth="1"/>
    <col min="2" max="2" width="34.140625" style="4" customWidth="1"/>
    <col min="3" max="5" width="10.5703125" style="1682" bestFit="1" customWidth="1"/>
    <col min="6" max="15" width="8.5703125" style="6" bestFit="1" customWidth="1"/>
    <col min="16" max="16" width="3.28515625" style="4" customWidth="1"/>
    <col min="17" max="16384" width="8.85546875" style="4"/>
  </cols>
  <sheetData>
    <row r="1" spans="2:17" ht="13.9" customHeight="1" x14ac:dyDescent="0.25"/>
    <row r="2" spans="2:17" s="1171" customFormat="1" ht="19.899999999999999" customHeight="1" x14ac:dyDescent="0.45">
      <c r="B2" s="2060" t="s">
        <v>906</v>
      </c>
      <c r="C2" s="1683"/>
      <c r="D2" s="1684"/>
      <c r="E2" s="1684"/>
      <c r="F2" s="1680"/>
      <c r="G2" s="1680"/>
      <c r="H2" s="1680"/>
      <c r="I2" s="1680"/>
      <c r="J2" s="1680"/>
      <c r="K2" s="1680"/>
      <c r="L2" s="1680"/>
      <c r="M2" s="1680"/>
      <c r="N2" s="1680"/>
      <c r="O2" s="1680"/>
      <c r="P2" s="4"/>
      <c r="Q2" s="4"/>
    </row>
    <row r="3" spans="2:17" ht="21" customHeight="1" x14ac:dyDescent="0.5">
      <c r="B3" s="2060"/>
      <c r="C3" s="2111" t="s">
        <v>942</v>
      </c>
      <c r="D3" s="2111"/>
      <c r="E3" s="2111"/>
      <c r="F3" s="2111" t="s">
        <v>992</v>
      </c>
      <c r="G3" s="2111"/>
      <c r="H3" s="2111"/>
      <c r="I3" s="2111"/>
      <c r="J3" s="2111"/>
      <c r="K3" s="2111"/>
      <c r="L3" s="2111"/>
      <c r="M3" s="2111"/>
      <c r="N3" s="2111"/>
      <c r="O3" s="2111"/>
    </row>
    <row r="4" spans="2:17" s="1279" customFormat="1" ht="19.5" thickBot="1" x14ac:dyDescent="0.35">
      <c r="B4" s="1668" t="s">
        <v>907</v>
      </c>
      <c r="C4" s="1685" t="str">
        <f>+Mali!H3</f>
        <v>2013/12</v>
      </c>
      <c r="D4" s="1685" t="str">
        <f>+Mali!I3</f>
        <v>2014/12</v>
      </c>
      <c r="E4" s="1685" t="str">
        <f>+Mali!J3</f>
        <v>2015/12</v>
      </c>
      <c r="F4" s="1681">
        <f>+WCR!H6</f>
        <v>2016</v>
      </c>
      <c r="G4" s="1681">
        <f>+WCR!I6</f>
        <v>2017</v>
      </c>
      <c r="H4" s="1681">
        <f>+WCR!J6</f>
        <v>2018</v>
      </c>
      <c r="I4" s="1681">
        <f>+WCR!K6</f>
        <v>2019</v>
      </c>
      <c r="J4" s="1681">
        <f>+WCR!L6</f>
        <v>2020</v>
      </c>
      <c r="K4" s="1681">
        <f>+WCR!M6</f>
        <v>2021</v>
      </c>
      <c r="L4" s="1681">
        <f>+WCR!N6</f>
        <v>2022</v>
      </c>
      <c r="M4" s="1681">
        <f>+WCR!O6</f>
        <v>2023</v>
      </c>
      <c r="N4" s="1681">
        <f>+WCR!P6</f>
        <v>2024</v>
      </c>
      <c r="O4" s="1681">
        <f>+WCR!Q6</f>
        <v>2025</v>
      </c>
    </row>
    <row r="5" spans="2:17" x14ac:dyDescent="0.25">
      <c r="B5" s="711" t="s">
        <v>39</v>
      </c>
      <c r="C5" s="1686">
        <f>SUM(C7:C10)</f>
        <v>7659.1180000000004</v>
      </c>
      <c r="D5" s="1686">
        <f>SUM(D7:D10)</f>
        <v>8471.7569999999996</v>
      </c>
      <c r="E5" s="1686">
        <f>SUM(E7:E10)</f>
        <v>9406.2520000000004</v>
      </c>
      <c r="F5" s="1700">
        <f t="shared" ref="F5:O5" si="0">SUM(F7:F10)</f>
        <v>10658.380556469867</v>
      </c>
      <c r="G5" s="1227">
        <f t="shared" si="0"/>
        <v>11828.306391260679</v>
      </c>
      <c r="H5" s="1227">
        <f t="shared" si="0"/>
        <v>13009.807348941573</v>
      </c>
      <c r="I5" s="1227">
        <f t="shared" si="0"/>
        <v>14313.642189764783</v>
      </c>
      <c r="J5" s="1227">
        <f t="shared" si="0"/>
        <v>15752.727173649266</v>
      </c>
      <c r="K5" s="1227">
        <f t="shared" si="0"/>
        <v>17246.392885962108</v>
      </c>
      <c r="L5" s="1227">
        <f t="shared" si="0"/>
        <v>18596.39957190958</v>
      </c>
      <c r="M5" s="1227">
        <f t="shared" si="0"/>
        <v>19930.668408130387</v>
      </c>
      <c r="N5" s="1227">
        <f t="shared" si="0"/>
        <v>21225.785547015366</v>
      </c>
      <c r="O5" s="1227">
        <f t="shared" si="0"/>
        <v>22606.924498762732</v>
      </c>
    </row>
    <row r="6" spans="2:17" x14ac:dyDescent="0.25">
      <c r="B6" s="4" t="s">
        <v>1290</v>
      </c>
      <c r="C6" s="4"/>
      <c r="D6" s="4"/>
      <c r="E6" s="4"/>
      <c r="F6" s="1701">
        <f ca="1">+IF(Debt!L23&lt;0,-Debt!L23,0)</f>
        <v>0</v>
      </c>
      <c r="G6" s="4">
        <f ca="1">+IF(Debt!M23&lt;0,-Debt!M23,0)</f>
        <v>0</v>
      </c>
      <c r="H6" s="4">
        <f ca="1">+IF(Debt!N23&lt;0,-Debt!N23,0)</f>
        <v>0</v>
      </c>
      <c r="I6" s="4">
        <f ca="1">+IF(Debt!O23&lt;0,-Debt!O23,0)</f>
        <v>0</v>
      </c>
      <c r="J6" s="4">
        <f ca="1">+IF(Debt!P23&lt;0,-Debt!P23,0)</f>
        <v>0</v>
      </c>
      <c r="K6" s="4">
        <f ca="1">+IF(Debt!Q23&lt;0,-Debt!Q23,0)</f>
        <v>0</v>
      </c>
      <c r="L6" s="4">
        <f ca="1">+IF(Debt!R23&lt;0,-Debt!R23,0)</f>
        <v>0</v>
      </c>
      <c r="M6" s="4">
        <f ca="1">+IF(Debt!S23&lt;0,-Debt!S23,0)</f>
        <v>0</v>
      </c>
      <c r="N6" s="4">
        <f ca="1">+IF(Debt!T23&lt;0,-Debt!T23,0)</f>
        <v>0</v>
      </c>
      <c r="O6" s="4">
        <f ca="1">+IF(Debt!U23&lt;0,-Debt!U23,0)</f>
        <v>0</v>
      </c>
    </row>
    <row r="7" spans="2:17" x14ac:dyDescent="0.25">
      <c r="B7" s="4" t="s">
        <v>1001</v>
      </c>
      <c r="C7" s="1687">
        <f>+OMali!H5</f>
        <v>1266.575</v>
      </c>
      <c r="D7" s="1687">
        <f>+OMali!I5</f>
        <v>1621.221</v>
      </c>
      <c r="E7" s="1687">
        <f>+OMali!J5</f>
        <v>2167.627</v>
      </c>
      <c r="F7" s="1673">
        <f>+Cash!I18</f>
        <v>2431.0939606118864</v>
      </c>
      <c r="G7" s="71">
        <f>+Cash!J18</f>
        <v>2701.8716591140665</v>
      </c>
      <c r="H7" s="71">
        <f>+Cash!K18</f>
        <v>2975.3284036231385</v>
      </c>
      <c r="I7" s="71">
        <f>+Cash!L18</f>
        <v>3277.0991543205041</v>
      </c>
      <c r="J7" s="71">
        <f>+Cash!M18</f>
        <v>3610.1733615030143</v>
      </c>
      <c r="K7" s="71">
        <f>+Cash!N18</f>
        <v>3910.5011225377762</v>
      </c>
      <c r="L7" s="71">
        <f>+Cash!O18</f>
        <v>4170.0836341199702</v>
      </c>
      <c r="M7" s="71">
        <f>+Cash!P18</f>
        <v>4418.5789286804675</v>
      </c>
      <c r="N7" s="71">
        <f>+Cash!Q18</f>
        <v>4650.8706069010377</v>
      </c>
      <c r="O7" s="71">
        <f>+Cash!R18</f>
        <v>4894.4895795696193</v>
      </c>
    </row>
    <row r="8" spans="2:17" x14ac:dyDescent="0.25">
      <c r="B8" s="4" t="s">
        <v>44</v>
      </c>
      <c r="C8" s="1687">
        <f>+OMali!H7</f>
        <v>4182.1400000000003</v>
      </c>
      <c r="D8" s="1687">
        <f>+OMali!I7</f>
        <v>4433.8980000000001</v>
      </c>
      <c r="E8" s="1687">
        <f>+OMali!J7</f>
        <v>4790.5249999999996</v>
      </c>
      <c r="F8" s="1673">
        <f>+WCR!H9</f>
        <v>5449.456774167943</v>
      </c>
      <c r="G8" s="71">
        <f>+WCR!I9</f>
        <v>6034.6707123616898</v>
      </c>
      <c r="H8" s="71">
        <f>+WCR!J9</f>
        <v>6625.6746955737945</v>
      </c>
      <c r="I8" s="71">
        <f>+WCR!K9</f>
        <v>7277.8718684730484</v>
      </c>
      <c r="J8" s="71">
        <f>+WCR!L9</f>
        <v>7997.7231323483393</v>
      </c>
      <c r="K8" s="71">
        <f>+WCR!M9</f>
        <v>8773.3296634623039</v>
      </c>
      <c r="L8" s="71">
        <f>+WCR!N9</f>
        <v>9481.775663420216</v>
      </c>
      <c r="M8" s="71">
        <f>+WCR!O9</f>
        <v>10187.017280833727</v>
      </c>
      <c r="N8" s="71">
        <f>+WCR!P9</f>
        <v>10877.152770033088</v>
      </c>
      <c r="O8" s="71">
        <f>+WCR!Q9</f>
        <v>11615.698842264072</v>
      </c>
    </row>
    <row r="9" spans="2:17" x14ac:dyDescent="0.25">
      <c r="B9" s="4" t="s">
        <v>4</v>
      </c>
      <c r="C9" s="1687">
        <f>+OMali!H8</f>
        <v>1988.373</v>
      </c>
      <c r="D9" s="1687">
        <f>+OMali!I8</f>
        <v>2124.9459999999999</v>
      </c>
      <c r="E9" s="1687">
        <f>+OMali!J8</f>
        <v>2140.0569999999998</v>
      </c>
      <c r="F9" s="1673">
        <f>+WCR!H10</f>
        <v>2567.249699254553</v>
      </c>
      <c r="G9" s="71">
        <f>+WCR!I10</f>
        <v>2848.6953626220038</v>
      </c>
      <c r="H9" s="71">
        <f>+WCR!J10</f>
        <v>3132.9256197162358</v>
      </c>
      <c r="I9" s="71">
        <f>+WCR!K10</f>
        <v>3446.5853841086491</v>
      </c>
      <c r="J9" s="71">
        <f>+WCR!L10</f>
        <v>3792.781882969557</v>
      </c>
      <c r="K9" s="71">
        <f>+WCR!M10</f>
        <v>4165.792640941675</v>
      </c>
      <c r="L9" s="71">
        <f>+WCR!N10</f>
        <v>4506.5040310934237</v>
      </c>
      <c r="M9" s="71">
        <f>+WCR!O10</f>
        <v>4845.6743445345346</v>
      </c>
      <c r="N9" s="71">
        <f>+WCR!P10</f>
        <v>5177.5797006691464</v>
      </c>
      <c r="O9" s="71">
        <f>+WCR!Q10</f>
        <v>5532.7670529527113</v>
      </c>
    </row>
    <row r="10" spans="2:17" x14ac:dyDescent="0.25">
      <c r="B10" s="4" t="s">
        <v>94</v>
      </c>
      <c r="C10" s="1687">
        <f>+OMali!H9</f>
        <v>222.03000000000065</v>
      </c>
      <c r="D10" s="1687">
        <f>+OMali!I9</f>
        <v>291.6919999999991</v>
      </c>
      <c r="E10" s="1687">
        <f>+OMali!J9</f>
        <v>308.04300000000148</v>
      </c>
      <c r="F10" s="1673">
        <f>+WCR!H11</f>
        <v>210.58012243548387</v>
      </c>
      <c r="G10" s="71">
        <f>+WCR!I11</f>
        <v>243.06865716292009</v>
      </c>
      <c r="H10" s="71">
        <f>+WCR!J11</f>
        <v>275.87863002840368</v>
      </c>
      <c r="I10" s="71">
        <f>+WCR!K11</f>
        <v>312.0857828625833</v>
      </c>
      <c r="J10" s="71">
        <f>+WCR!L11</f>
        <v>352.04879682835548</v>
      </c>
      <c r="K10" s="71">
        <f>+WCR!M11</f>
        <v>396.76945902035465</v>
      </c>
      <c r="L10" s="71">
        <f>+WCR!N11</f>
        <v>438.03624327596805</v>
      </c>
      <c r="M10" s="71">
        <f>+WCR!O11</f>
        <v>479.39785408165818</v>
      </c>
      <c r="N10" s="71">
        <f>+WCR!P11</f>
        <v>520.18246941209395</v>
      </c>
      <c r="O10" s="71">
        <f>+WCR!Q11</f>
        <v>563.9690239763313</v>
      </c>
    </row>
    <row r="11" spans="2:17" x14ac:dyDescent="0.25">
      <c r="B11" s="711" t="s">
        <v>55</v>
      </c>
      <c r="C11" s="1686">
        <f>SUM(C12:C15)</f>
        <v>3751.7979999999998</v>
      </c>
      <c r="D11" s="1686">
        <f>SUM(D12:D15)</f>
        <v>3923.248</v>
      </c>
      <c r="E11" s="1686">
        <f>SUM(E12:E15)</f>
        <v>4332.2560000000003</v>
      </c>
      <c r="F11" s="1669">
        <f>+SUM(F12:F15)</f>
        <v>4448.5941622547671</v>
      </c>
      <c r="G11" s="1670">
        <f t="shared" ref="G11:O11" si="1">+SUM(G12:G15)</f>
        <v>4780.5409222017461</v>
      </c>
      <c r="H11" s="1670">
        <f t="shared" si="1"/>
        <v>5148.9301238564685</v>
      </c>
      <c r="I11" s="1670">
        <f t="shared" si="1"/>
        <v>5557.8597596351829</v>
      </c>
      <c r="J11" s="1670">
        <f t="shared" si="1"/>
        <v>6011.2697011926675</v>
      </c>
      <c r="K11" s="1670">
        <f t="shared" si="1"/>
        <v>6427.1891648147484</v>
      </c>
      <c r="L11" s="1670">
        <f t="shared" si="1"/>
        <v>6786.0379463590853</v>
      </c>
      <c r="M11" s="1670">
        <f t="shared" si="1"/>
        <v>7080.2635157661962</v>
      </c>
      <c r="N11" s="1670">
        <f t="shared" si="1"/>
        <v>7301.1747531978499</v>
      </c>
      <c r="O11" s="1670">
        <f t="shared" si="1"/>
        <v>7446.5871443086735</v>
      </c>
    </row>
    <row r="12" spans="2:17" x14ac:dyDescent="0.25">
      <c r="B12" s="4" t="s">
        <v>56</v>
      </c>
      <c r="C12" s="1687">
        <f>+OMali!H11</f>
        <v>737.92</v>
      </c>
      <c r="D12" s="1687">
        <f>+OMali!I11</f>
        <v>899.72799999999995</v>
      </c>
      <c r="E12" s="1687">
        <f>+OMali!J11</f>
        <v>749.05700000000002</v>
      </c>
      <c r="F12" s="1671">
        <f>+E12</f>
        <v>749.05700000000002</v>
      </c>
      <c r="G12" s="1672">
        <f t="shared" ref="G12:O12" si="2">+F12</f>
        <v>749.05700000000002</v>
      </c>
      <c r="H12" s="1672">
        <f t="shared" si="2"/>
        <v>749.05700000000002</v>
      </c>
      <c r="I12" s="1672">
        <f t="shared" si="2"/>
        <v>749.05700000000002</v>
      </c>
      <c r="J12" s="1672">
        <f t="shared" si="2"/>
        <v>749.05700000000002</v>
      </c>
      <c r="K12" s="1672">
        <f t="shared" si="2"/>
        <v>749.05700000000002</v>
      </c>
      <c r="L12" s="1672">
        <f t="shared" si="2"/>
        <v>749.05700000000002</v>
      </c>
      <c r="M12" s="1672">
        <f t="shared" si="2"/>
        <v>749.05700000000002</v>
      </c>
      <c r="N12" s="1672">
        <f t="shared" si="2"/>
        <v>749.05700000000002</v>
      </c>
      <c r="O12" s="1672">
        <f t="shared" si="2"/>
        <v>749.05700000000002</v>
      </c>
    </row>
    <row r="13" spans="2:17" x14ac:dyDescent="0.25">
      <c r="B13" s="4" t="s">
        <v>1204</v>
      </c>
      <c r="C13" s="1687">
        <f>+OMali!H12+OMali!H13</f>
        <v>2895.7629999999999</v>
      </c>
      <c r="D13" s="1687">
        <f>+OMali!I12+OMali!I13</f>
        <v>2903.9409999999998</v>
      </c>
      <c r="E13" s="1687">
        <f>+OMali!J12+OMali!J13</f>
        <v>3226.6050000000005</v>
      </c>
      <c r="F13" s="1673">
        <f>+E13-'Dep,Amort&amp;Capex'!E99+'Dep,Amort&amp;Capex'!E44</f>
        <v>3511.5015057664609</v>
      </c>
      <c r="G13" s="71">
        <f>+F13-'Dep,Amort&amp;Capex'!F99+'Dep,Amort&amp;Capex'!F44</f>
        <v>3836.6674172859366</v>
      </c>
      <c r="H13" s="71">
        <f>+G13-'Dep,Amort&amp;Capex'!G99+'Dep,Amort&amp;Capex'!G44</f>
        <v>4198.208681513569</v>
      </c>
      <c r="I13" s="71">
        <f>+H13-'Dep,Amort&amp;Capex'!H99+'Dep,Amort&amp;Capex'!H44</f>
        <v>4599.5813370400256</v>
      </c>
      <c r="J13" s="71">
        <f>+I13-'Dep,Amort&amp;Capex'!I99+'Dep,Amort&amp;Capex'!I44</f>
        <v>5044.6503933380936</v>
      </c>
      <c r="K13" s="71">
        <f>+J13-'Dep,Amort&amp;Capex'!J99+'Dep,Amort&amp;Capex'!J44</f>
        <v>5451.5829378462895</v>
      </c>
      <c r="L13" s="71">
        <f>+K13-'Dep,Amort&amp;Capex'!K99+'Dep,Amort&amp;Capex'!K44</f>
        <v>5802.2229864277506</v>
      </c>
      <c r="M13" s="71">
        <f>+L13-'Dep,Amort&amp;Capex'!L99+'Dep,Amort&amp;Capex'!L44</f>
        <v>6088.2769519130397</v>
      </c>
      <c r="N13" s="71">
        <f>+M13-'Dep,Amort&amp;Capex'!M99+'Dep,Amort&amp;Capex'!M44</f>
        <v>6301.191619472921</v>
      </c>
      <c r="O13" s="71">
        <f>+N13-'Dep,Amort&amp;Capex'!N99+'Dep,Amort&amp;Capex'!N44</f>
        <v>6438.0465093936955</v>
      </c>
    </row>
    <row r="14" spans="2:17" x14ac:dyDescent="0.25">
      <c r="B14" s="4" t="s">
        <v>1205</v>
      </c>
      <c r="C14" s="1687">
        <f>+OMali!H14</f>
        <v>90.659000000000006</v>
      </c>
      <c r="D14" s="1687">
        <f>+OMali!I14</f>
        <v>77.352999999999994</v>
      </c>
      <c r="E14" s="1687">
        <f>+OMali!J14</f>
        <v>198.64699999999999</v>
      </c>
      <c r="F14" s="1673">
        <f>+WCR!H12+Duz!D22</f>
        <v>30.088656488305858</v>
      </c>
      <c r="G14" s="98">
        <f>+WCR!I12+Duz!E22</f>
        <v>36.86950491580923</v>
      </c>
      <c r="H14" s="98">
        <f>+WCR!J12+Duz!F22</f>
        <v>43.717442342899815</v>
      </c>
      <c r="I14" s="98">
        <f>+WCR!K12+Duz!G22</f>
        <v>51.274422595157432</v>
      </c>
      <c r="J14" s="98">
        <f>+WCR!L12+Duz!H22</f>
        <v>59.615307854573544</v>
      </c>
      <c r="K14" s="98">
        <f>+WCR!M12+Duz!I22</f>
        <v>68.602226968458851</v>
      </c>
      <c r="L14" s="98">
        <f>+WCR!N12+Duz!J22</f>
        <v>76.810959931335134</v>
      </c>
      <c r="M14" s="98">
        <f>+WCR!O12+Duz!K22</f>
        <v>84.982563853156151</v>
      </c>
      <c r="N14" s="98">
        <f>+WCR!P12+Duz!L22</f>
        <v>92.97913372492917</v>
      </c>
      <c r="O14" s="98">
        <f>+WCR!Q12+Duz!M22</f>
        <v>101.53663491497818</v>
      </c>
    </row>
    <row r="15" spans="2:17" x14ac:dyDescent="0.25">
      <c r="B15" s="99" t="s">
        <v>97</v>
      </c>
      <c r="C15" s="1687">
        <f>+OMali!H15</f>
        <v>27.455999999999676</v>
      </c>
      <c r="D15" s="1687">
        <f>+OMali!I15</f>
        <v>42.226000000000113</v>
      </c>
      <c r="E15" s="1687">
        <f>+OMali!J15</f>
        <v>157.94700000000012</v>
      </c>
      <c r="F15" s="1671">
        <f>+E15</f>
        <v>157.94700000000012</v>
      </c>
      <c r="G15" s="1672">
        <f t="shared" ref="G15:O15" si="3">+F15</f>
        <v>157.94700000000012</v>
      </c>
      <c r="H15" s="1672">
        <f t="shared" si="3"/>
        <v>157.94700000000012</v>
      </c>
      <c r="I15" s="1672">
        <f t="shared" si="3"/>
        <v>157.94700000000012</v>
      </c>
      <c r="J15" s="1672">
        <f t="shared" si="3"/>
        <v>157.94700000000012</v>
      </c>
      <c r="K15" s="1672">
        <f t="shared" si="3"/>
        <v>157.94700000000012</v>
      </c>
      <c r="L15" s="1672">
        <f t="shared" si="3"/>
        <v>157.94700000000012</v>
      </c>
      <c r="M15" s="1672">
        <f t="shared" si="3"/>
        <v>157.94700000000012</v>
      </c>
      <c r="N15" s="1672">
        <f t="shared" si="3"/>
        <v>157.94700000000012</v>
      </c>
      <c r="O15" s="1672">
        <f t="shared" si="3"/>
        <v>157.94700000000012</v>
      </c>
    </row>
    <row r="16" spans="2:17" x14ac:dyDescent="0.25">
      <c r="B16" s="1692" t="s">
        <v>908</v>
      </c>
      <c r="C16" s="1693">
        <f t="shared" ref="C16:O16" si="4">+C11+C5</f>
        <v>11410.916000000001</v>
      </c>
      <c r="D16" s="1693">
        <f t="shared" si="4"/>
        <v>12395.004999999999</v>
      </c>
      <c r="E16" s="1693">
        <f t="shared" si="4"/>
        <v>13738.508000000002</v>
      </c>
      <c r="F16" s="1694">
        <f t="shared" si="4"/>
        <v>15106.974718724634</v>
      </c>
      <c r="G16" s="1695">
        <f t="shared" si="4"/>
        <v>16608.847313462426</v>
      </c>
      <c r="H16" s="1695">
        <f t="shared" si="4"/>
        <v>18158.737472798042</v>
      </c>
      <c r="I16" s="1695">
        <f t="shared" si="4"/>
        <v>19871.501949399964</v>
      </c>
      <c r="J16" s="1695">
        <f t="shared" si="4"/>
        <v>21763.996874841934</v>
      </c>
      <c r="K16" s="1695">
        <f t="shared" si="4"/>
        <v>23673.582050776859</v>
      </c>
      <c r="L16" s="1695">
        <f t="shared" si="4"/>
        <v>25382.437518268664</v>
      </c>
      <c r="M16" s="1695">
        <f t="shared" si="4"/>
        <v>27010.931923896584</v>
      </c>
      <c r="N16" s="1695">
        <f t="shared" si="4"/>
        <v>28526.960300213217</v>
      </c>
      <c r="O16" s="1695">
        <f t="shared" si="4"/>
        <v>30053.511643071404</v>
      </c>
    </row>
    <row r="18" spans="2:15" s="319" customFormat="1" ht="19.5" thickBot="1" x14ac:dyDescent="0.35">
      <c r="B18" s="1668" t="s">
        <v>909</v>
      </c>
      <c r="C18" s="1688"/>
      <c r="D18" s="1688"/>
      <c r="E18" s="1688"/>
      <c r="F18" s="1674"/>
      <c r="G18" s="1675"/>
      <c r="H18" s="1675"/>
      <c r="I18" s="1675"/>
      <c r="J18" s="1675"/>
      <c r="K18" s="1675"/>
      <c r="L18" s="1675"/>
      <c r="M18" s="1675"/>
      <c r="N18" s="1675"/>
      <c r="O18" s="1675"/>
    </row>
    <row r="19" spans="2:15" x14ac:dyDescent="0.25">
      <c r="B19" s="711" t="s">
        <v>910</v>
      </c>
      <c r="C19" s="1686">
        <f>+Mali!H25</f>
        <v>4091.143</v>
      </c>
      <c r="D19" s="1686">
        <f>+Mali!I25</f>
        <v>4430.8029999999999</v>
      </c>
      <c r="E19" s="1686">
        <f>+Mali!J25</f>
        <v>5236.2969999999996</v>
      </c>
      <c r="F19" s="1669">
        <f>+SUM(F20:F22)</f>
        <v>5947.2431829303259</v>
      </c>
      <c r="G19" s="1670">
        <f t="shared" ref="G19:O19" si="5">+SUM(G20:G22)</f>
        <v>6600.0471814955845</v>
      </c>
      <c r="H19" s="1227">
        <f t="shared" si="5"/>
        <v>7259.3099540119965</v>
      </c>
      <c r="I19" s="1227">
        <f t="shared" si="5"/>
        <v>7986.8335048619329</v>
      </c>
      <c r="J19" s="1227">
        <f t="shared" si="5"/>
        <v>8789.8249457022721</v>
      </c>
      <c r="K19" s="1227">
        <f t="shared" si="5"/>
        <v>9623.2717510649345</v>
      </c>
      <c r="L19" s="1227">
        <f t="shared" si="5"/>
        <v>10376.558614615493</v>
      </c>
      <c r="M19" s="1227">
        <f t="shared" si="5"/>
        <v>11121.063954649888</v>
      </c>
      <c r="N19" s="1227">
        <f t="shared" si="5"/>
        <v>11843.72313673871</v>
      </c>
      <c r="O19" s="1227">
        <f t="shared" si="5"/>
        <v>12614.381415633903</v>
      </c>
    </row>
    <row r="20" spans="2:15" x14ac:dyDescent="0.25">
      <c r="B20" s="4" t="s">
        <v>7</v>
      </c>
      <c r="C20" s="1687">
        <f>+Mali!H26</f>
        <v>1687.876</v>
      </c>
      <c r="D20" s="1687">
        <f>+Mali!I26</f>
        <v>1806.434</v>
      </c>
      <c r="E20" s="1687">
        <f>+Mali!J26</f>
        <v>2188.0050000000001</v>
      </c>
      <c r="F20" s="1673">
        <f>+Debt!L26</f>
        <v>2570.148972492987</v>
      </c>
      <c r="G20" s="71">
        <f>+Debt!M26</f>
        <v>2821.8661674210089</v>
      </c>
      <c r="H20" s="98">
        <f>+Debt!N26</f>
        <v>3076.0738257426856</v>
      </c>
      <c r="I20" s="98">
        <f>+Debt!O26</f>
        <v>3356.6024191129864</v>
      </c>
      <c r="J20" s="98">
        <f>+Debt!P26</f>
        <v>3666.2309653286629</v>
      </c>
      <c r="K20" s="98">
        <f>+Debt!Q26</f>
        <v>3968.1020098596091</v>
      </c>
      <c r="L20" s="98">
        <f>+Debt!R26</f>
        <v>4235.8427797034419</v>
      </c>
      <c r="M20" s="98">
        <f>+Debt!S26</f>
        <v>4496.9982067241554</v>
      </c>
      <c r="N20" s="98">
        <f>+Debt!T26</f>
        <v>4746.660730028766</v>
      </c>
      <c r="O20" s="98">
        <f>+Debt!U26</f>
        <v>5011.143294168698</v>
      </c>
    </row>
    <row r="21" spans="2:15" x14ac:dyDescent="0.25">
      <c r="B21" s="4" t="s">
        <v>11</v>
      </c>
      <c r="C21" s="1687">
        <f>+Mali!H27</f>
        <v>1644.9</v>
      </c>
      <c r="D21" s="1687">
        <f>+Mali!I27</f>
        <v>1781.442</v>
      </c>
      <c r="E21" s="1687">
        <f>+Mali!J27</f>
        <v>2090.3939999999998</v>
      </c>
      <c r="F21" s="1673">
        <f>+WCR!H14</f>
        <v>2338.1991477750616</v>
      </c>
      <c r="G21" s="71">
        <f>+WCR!I14</f>
        <v>2632.7416076506242</v>
      </c>
      <c r="H21" s="98">
        <f>+WCR!J14</f>
        <v>2930.1982395771147</v>
      </c>
      <c r="I21" s="98">
        <f>+WCR!K14</f>
        <v>3258.4538519135995</v>
      </c>
      <c r="J21" s="98">
        <f>+WCR!L14</f>
        <v>3620.7602635837957</v>
      </c>
      <c r="K21" s="98">
        <f>+WCR!M14</f>
        <v>4011.1287094806312</v>
      </c>
      <c r="L21" s="98">
        <f>+WCR!N14</f>
        <v>4367.6947683148655</v>
      </c>
      <c r="M21" s="98">
        <f>+WCR!O14</f>
        <v>4722.6480379528575</v>
      </c>
      <c r="N21" s="98">
        <f>+WCR!P14</f>
        <v>5069.998282657567</v>
      </c>
      <c r="O21" s="98">
        <f>+WCR!Q14</f>
        <v>5441.7139282516573</v>
      </c>
    </row>
    <row r="22" spans="2:15" x14ac:dyDescent="0.25">
      <c r="B22" s="4" t="s">
        <v>102</v>
      </c>
      <c r="C22" s="1687">
        <f>C19-SUM(C20:C21)</f>
        <v>758.36700000000019</v>
      </c>
      <c r="D22" s="1687">
        <f>D19-SUM(D20:D21)</f>
        <v>842.92699999999968</v>
      </c>
      <c r="E22" s="1687">
        <f>E19-SUM(E20:E21)</f>
        <v>957.89800000000014</v>
      </c>
      <c r="F22" s="1673">
        <f>+WCR!H15</f>
        <v>1038.895062662277</v>
      </c>
      <c r="G22" s="71">
        <f>+WCR!I15</f>
        <v>1145.4394064239514</v>
      </c>
      <c r="H22" s="98">
        <f>+WCR!J15</f>
        <v>1253.0378886921958</v>
      </c>
      <c r="I22" s="98">
        <f>+WCR!K15</f>
        <v>1371.777233835347</v>
      </c>
      <c r="J22" s="98">
        <f>+WCR!L15</f>
        <v>1502.833716789813</v>
      </c>
      <c r="K22" s="98">
        <f>+WCR!M15</f>
        <v>1644.0410317246938</v>
      </c>
      <c r="L22" s="98">
        <f>+WCR!N15</f>
        <v>1773.0210665971872</v>
      </c>
      <c r="M22" s="98">
        <f>+WCR!O15</f>
        <v>1901.4177099728749</v>
      </c>
      <c r="N22" s="98">
        <f>+WCR!P15</f>
        <v>2027.0641240523773</v>
      </c>
      <c r="O22" s="98">
        <f>+WCR!Q15</f>
        <v>2161.5241932135477</v>
      </c>
    </row>
    <row r="23" spans="2:15" x14ac:dyDescent="0.25">
      <c r="B23" s="711" t="s">
        <v>911</v>
      </c>
      <c r="C23" s="1686">
        <f>+Mali!H33</f>
        <v>3181.0169999999998</v>
      </c>
      <c r="D23" s="1686">
        <f>+Mali!I33</f>
        <v>3565.5039999999999</v>
      </c>
      <c r="E23" s="1686">
        <f>+Mali!J33</f>
        <v>3826.3739999999998</v>
      </c>
      <c r="F23" s="1669">
        <f ca="1">+SUM(F24:F27)</f>
        <v>4218.0893851922428</v>
      </c>
      <c r="G23" s="1670">
        <f t="shared" ref="G23:O23" ca="1" si="6">+SUM(G24:G27)</f>
        <v>4693.3986768202394</v>
      </c>
      <c r="H23" s="1227">
        <f t="shared" ca="1" si="6"/>
        <v>5178.4716712361633</v>
      </c>
      <c r="I23" s="1227">
        <f t="shared" ca="1" si="6"/>
        <v>5721.0188602044354</v>
      </c>
      <c r="J23" s="1227">
        <f t="shared" ca="1" si="6"/>
        <v>6327.6264936627185</v>
      </c>
      <c r="K23" s="1227">
        <f t="shared" ca="1" si="6"/>
        <v>6902.4120782284635</v>
      </c>
      <c r="L23" s="1227">
        <f t="shared" ca="1" si="6"/>
        <v>7341.3227697456177</v>
      </c>
      <c r="M23" s="1227">
        <f t="shared" ca="1" si="6"/>
        <v>7682.7419972805719</v>
      </c>
      <c r="N23" s="1227">
        <f t="shared" ca="1" si="6"/>
        <v>7908.4598633466676</v>
      </c>
      <c r="O23" s="1227">
        <f t="shared" ca="1" si="6"/>
        <v>8061.5323771903431</v>
      </c>
    </row>
    <row r="24" spans="2:15" x14ac:dyDescent="0.25">
      <c r="B24" s="4" t="s">
        <v>7</v>
      </c>
      <c r="C24" s="1687">
        <f>+Mali!H34</f>
        <v>2581.1590000000001</v>
      </c>
      <c r="D24" s="1687">
        <f>+Mali!I34</f>
        <v>2964.9859999999999</v>
      </c>
      <c r="E24" s="1687">
        <f>+Mali!J34</f>
        <v>3268.9070000000002</v>
      </c>
      <c r="F24" s="1673">
        <f ca="1">+Debt!L28</f>
        <v>3690.5749648049296</v>
      </c>
      <c r="G24" s="71">
        <f ca="1">+Debt!M28</f>
        <v>4160.4810290524365</v>
      </c>
      <c r="H24" s="98">
        <f ca="1">+Debt!N28</f>
        <v>4640.0973371257105</v>
      </c>
      <c r="I24" s="98">
        <f ca="1">+Debt!O28</f>
        <v>5176.622848563602</v>
      </c>
      <c r="J24" s="98">
        <f ca="1">+Debt!P28</f>
        <v>5776.5841603863209</v>
      </c>
      <c r="K24" s="98">
        <f ca="1">+Debt!Q28</f>
        <v>6344.2086399750788</v>
      </c>
      <c r="L24" s="98">
        <f ca="1">+Debt!R28</f>
        <v>6776.5783136272348</v>
      </c>
      <c r="M24" s="98">
        <f ca="1">+Debt!S28</f>
        <v>7111.4861090715067</v>
      </c>
      <c r="N24" s="98">
        <f ca="1">+Debt!T28</f>
        <v>7330.8320165629329</v>
      </c>
      <c r="O24" s="98">
        <f ca="1">+Debt!U28</f>
        <v>7477.0856012957465</v>
      </c>
    </row>
    <row r="25" spans="2:15" x14ac:dyDescent="0.25">
      <c r="B25" s="4" t="s">
        <v>11</v>
      </c>
      <c r="C25" s="1687">
        <f>+Mali!H35</f>
        <v>0</v>
      </c>
      <c r="D25" s="1687">
        <f>+Mali!I35</f>
        <v>0</v>
      </c>
      <c r="E25" s="1687">
        <f>+Mali!J35</f>
        <v>0</v>
      </c>
      <c r="F25" s="1676">
        <f>+E25</f>
        <v>0</v>
      </c>
      <c r="G25" s="1273">
        <f t="shared" ref="G25:O25" si="7">+F25</f>
        <v>0</v>
      </c>
      <c r="H25" s="107">
        <f t="shared" si="7"/>
        <v>0</v>
      </c>
      <c r="I25" s="107">
        <f t="shared" si="7"/>
        <v>0</v>
      </c>
      <c r="J25" s="107">
        <f t="shared" si="7"/>
        <v>0</v>
      </c>
      <c r="K25" s="107">
        <f t="shared" si="7"/>
        <v>0</v>
      </c>
      <c r="L25" s="107">
        <f t="shared" si="7"/>
        <v>0</v>
      </c>
      <c r="M25" s="107">
        <f t="shared" si="7"/>
        <v>0</v>
      </c>
      <c r="N25" s="107">
        <f t="shared" si="7"/>
        <v>0</v>
      </c>
      <c r="O25" s="107">
        <f t="shared" si="7"/>
        <v>0</v>
      </c>
    </row>
    <row r="26" spans="2:15" x14ac:dyDescent="0.25">
      <c r="B26" s="4" t="s">
        <v>984</v>
      </c>
      <c r="C26" s="1687">
        <f>+Mali!H40</f>
        <v>245.51499999999999</v>
      </c>
      <c r="D26" s="1687">
        <f>+Mali!I40</f>
        <v>245.422</v>
      </c>
      <c r="E26" s="1687">
        <f>+Mali!J40</f>
        <v>149.63499999999999</v>
      </c>
      <c r="F26" s="1673">
        <f>+WCR!H16</f>
        <v>119.68242038731367</v>
      </c>
      <c r="G26" s="71">
        <f>+WCR!I16</f>
        <v>125.08564776780325</v>
      </c>
      <c r="H26" s="98">
        <f>+WCR!J16</f>
        <v>130.54233411045294</v>
      </c>
      <c r="I26" s="98">
        <f>+WCR!K16</f>
        <v>136.56401164083408</v>
      </c>
      <c r="J26" s="98">
        <f>+WCR!L16</f>
        <v>143.21033327639856</v>
      </c>
      <c r="K26" s="98">
        <f>+WCR!M16</f>
        <v>150.3714382533858</v>
      </c>
      <c r="L26" s="98">
        <f>+WCR!N16</f>
        <v>156.91245611838337</v>
      </c>
      <c r="M26" s="98">
        <f>+WCR!O16</f>
        <v>163.42388820906589</v>
      </c>
      <c r="N26" s="98">
        <f>+WCR!P16</f>
        <v>169.79584678373504</v>
      </c>
      <c r="O26" s="98">
        <f>+WCR!Q16</f>
        <v>176.61477589459696</v>
      </c>
    </row>
    <row r="27" spans="2:15" x14ac:dyDescent="0.25">
      <c r="B27" s="4" t="s">
        <v>103</v>
      </c>
      <c r="C27" s="1687">
        <f>+C23-SUM(C24:C26)</f>
        <v>354.34299999999985</v>
      </c>
      <c r="D27" s="1687">
        <f>+D23-SUM(D24:D26)</f>
        <v>355.096</v>
      </c>
      <c r="E27" s="1687">
        <f>+E23-SUM(E24:E26)</f>
        <v>407.83199999999943</v>
      </c>
      <c r="F27" s="1673">
        <f>+E27</f>
        <v>407.83199999999943</v>
      </c>
      <c r="G27" s="1273">
        <f t="shared" ref="G27:O27" si="8">+F27</f>
        <v>407.83199999999943</v>
      </c>
      <c r="H27" s="107">
        <f t="shared" si="8"/>
        <v>407.83199999999943</v>
      </c>
      <c r="I27" s="107">
        <f t="shared" si="8"/>
        <v>407.83199999999943</v>
      </c>
      <c r="J27" s="107">
        <f t="shared" si="8"/>
        <v>407.83199999999943</v>
      </c>
      <c r="K27" s="107">
        <f t="shared" si="8"/>
        <v>407.83199999999943</v>
      </c>
      <c r="L27" s="107">
        <f t="shared" si="8"/>
        <v>407.83199999999943</v>
      </c>
      <c r="M27" s="107">
        <f t="shared" si="8"/>
        <v>407.83199999999943</v>
      </c>
      <c r="N27" s="107">
        <f t="shared" si="8"/>
        <v>407.83199999999943</v>
      </c>
      <c r="O27" s="107">
        <f t="shared" si="8"/>
        <v>407.83199999999943</v>
      </c>
    </row>
    <row r="28" spans="2:15" x14ac:dyDescent="0.25">
      <c r="B28" s="711" t="s">
        <v>821</v>
      </c>
      <c r="C28" s="1686">
        <f>+Mali!H42</f>
        <v>4138.7560000000003</v>
      </c>
      <c r="D28" s="1686">
        <f>+Mali!I42</f>
        <v>4398.6980000000003</v>
      </c>
      <c r="E28" s="1686">
        <f>+Mali!J42</f>
        <v>4675.8370000000004</v>
      </c>
      <c r="F28" s="1669">
        <f ca="1">+F29+F34</f>
        <v>4942.4071099694611</v>
      </c>
      <c r="G28" s="1670">
        <f t="shared" ref="G28:O28" ca="1" si="9">+G29+G34</f>
        <v>5315.9311636170187</v>
      </c>
      <c r="H28" s="1227">
        <f t="shared" ca="1" si="9"/>
        <v>5721.2479775757447</v>
      </c>
      <c r="I28" s="1227">
        <f t="shared" ca="1" si="9"/>
        <v>6163.6795367865789</v>
      </c>
      <c r="J28" s="1227">
        <f t="shared" ca="1" si="9"/>
        <v>6646.2860140027733</v>
      </c>
      <c r="K28" s="1227">
        <f t="shared" ca="1" si="9"/>
        <v>7146.5922299097483</v>
      </c>
      <c r="L28" s="1227">
        <f t="shared" ca="1" si="9"/>
        <v>7662.1092011098663</v>
      </c>
      <c r="M28" s="1227">
        <f t="shared" ca="1" si="9"/>
        <v>8203.4188404556699</v>
      </c>
      <c r="N28" s="1227">
        <f t="shared" ca="1" si="9"/>
        <v>8769.7003982135084</v>
      </c>
      <c r="O28" s="1227">
        <f t="shared" ca="1" si="9"/>
        <v>9370.9927512040067</v>
      </c>
    </row>
    <row r="29" spans="2:15" s="7" customFormat="1" x14ac:dyDescent="0.25">
      <c r="B29" s="7" t="s">
        <v>914</v>
      </c>
      <c r="C29" s="1689">
        <f>+SUM(C30:C33)</f>
        <v>4062.8500000000004</v>
      </c>
      <c r="D29" s="1689">
        <f t="shared" ref="D29:E29" si="10">+SUM(D30:D33)</f>
        <v>4355.625</v>
      </c>
      <c r="E29" s="1689">
        <f t="shared" si="10"/>
        <v>4657.0110000000004</v>
      </c>
      <c r="F29" s="1677">
        <f t="shared" ref="F29" ca="1" si="11">+SUM(F30:F33)</f>
        <v>4923.0318976087574</v>
      </c>
      <c r="G29" s="1678">
        <f t="shared" ref="G29" ca="1" si="12">+SUM(G30:G33)</f>
        <v>5295.7852493903147</v>
      </c>
      <c r="H29" s="102">
        <f t="shared" ref="H29" ca="1" si="13">+SUM(H30:H33)</f>
        <v>5700.2657727614287</v>
      </c>
      <c r="I29" s="102">
        <f t="shared" ref="I29" ca="1" si="14">+SUM(I30:I33)</f>
        <v>6141.7844524820812</v>
      </c>
      <c r="J29" s="102">
        <f t="shared" ref="J29" ca="1" si="15">+SUM(J30:J33)</f>
        <v>6623.3951519957918</v>
      </c>
      <c r="K29" s="102">
        <f t="shared" ref="K29" ca="1" si="16">+SUM(K30:K33)</f>
        <v>7122.669241055155</v>
      </c>
      <c r="L29" s="102">
        <f t="shared" ref="L29" ca="1" si="17">+SUM(L30:L33)</f>
        <v>7637.1228482057104</v>
      </c>
      <c r="M29" s="102">
        <f t="shared" ref="M29" ca="1" si="18">+SUM(M30:M33)</f>
        <v>8177.315954270689</v>
      </c>
      <c r="N29" s="102">
        <f t="shared" ref="N29" ca="1" si="19">+SUM(N30:N33)</f>
        <v>8742.4295185395968</v>
      </c>
      <c r="O29" s="102">
        <f t="shared" ref="O29" ca="1" si="20">+SUM(O30:O33)</f>
        <v>9342.4816467628752</v>
      </c>
    </row>
    <row r="30" spans="2:15" x14ac:dyDescent="0.25">
      <c r="B30" s="4" t="s">
        <v>844</v>
      </c>
      <c r="C30" s="1687">
        <f>+Mali!H44</f>
        <v>675.72799999999995</v>
      </c>
      <c r="D30" s="1687">
        <f>+Mali!I44</f>
        <v>675.72799999999995</v>
      </c>
      <c r="E30" s="1687">
        <f>+Mali!J44</f>
        <v>675.72799999999995</v>
      </c>
      <c r="F30" s="1673">
        <f>+E30+Duz!D42</f>
        <v>675.72799999999995</v>
      </c>
      <c r="G30" s="71">
        <f>+F30+Duz!E42</f>
        <v>675.72799999999995</v>
      </c>
      <c r="H30" s="98">
        <f>+G30+Duz!F42</f>
        <v>675.72799999999995</v>
      </c>
      <c r="I30" s="98">
        <f>+H30+Duz!G42</f>
        <v>675.72799999999995</v>
      </c>
      <c r="J30" s="98">
        <f>+I30+Duz!H42</f>
        <v>675.72799999999995</v>
      </c>
      <c r="K30" s="98">
        <f>+J30+Duz!I42</f>
        <v>675.72799999999995</v>
      </c>
      <c r="L30" s="98">
        <f>+K30+Duz!J42</f>
        <v>675.72799999999995</v>
      </c>
      <c r="M30" s="98">
        <f>+L30+Duz!K42</f>
        <v>675.72799999999995</v>
      </c>
      <c r="N30" s="98">
        <f>+M30+Duz!L42</f>
        <v>675.72799999999995</v>
      </c>
      <c r="O30" s="98">
        <f>+N30+Duz!M42</f>
        <v>675.72799999999995</v>
      </c>
    </row>
    <row r="31" spans="2:15" x14ac:dyDescent="0.25">
      <c r="B31" s="4" t="s">
        <v>845</v>
      </c>
      <c r="C31" s="1687">
        <f>+Mali!H45</f>
        <v>1222.1690000000001</v>
      </c>
      <c r="D31" s="1687">
        <f>+Mali!I45</f>
        <v>1241.059</v>
      </c>
      <c r="E31" s="1687">
        <f>+Mali!J45</f>
        <v>1244.2660000000001</v>
      </c>
      <c r="F31" s="1673">
        <f>+E31</f>
        <v>1244.2660000000001</v>
      </c>
      <c r="G31" s="71">
        <f t="shared" ref="G31:O31" si="21">+F31</f>
        <v>1244.2660000000001</v>
      </c>
      <c r="H31" s="98">
        <f t="shared" si="21"/>
        <v>1244.2660000000001</v>
      </c>
      <c r="I31" s="98">
        <f t="shared" si="21"/>
        <v>1244.2660000000001</v>
      </c>
      <c r="J31" s="98">
        <f t="shared" si="21"/>
        <v>1244.2660000000001</v>
      </c>
      <c r="K31" s="98">
        <f t="shared" si="21"/>
        <v>1244.2660000000001</v>
      </c>
      <c r="L31" s="98">
        <f t="shared" si="21"/>
        <v>1244.2660000000001</v>
      </c>
      <c r="M31" s="98">
        <f t="shared" si="21"/>
        <v>1244.2660000000001</v>
      </c>
      <c r="N31" s="98">
        <f t="shared" si="21"/>
        <v>1244.2660000000001</v>
      </c>
      <c r="O31" s="98">
        <f t="shared" si="21"/>
        <v>1244.2660000000001</v>
      </c>
    </row>
    <row r="32" spans="2:15" x14ac:dyDescent="0.25">
      <c r="B32" s="4" t="s">
        <v>846</v>
      </c>
      <c r="C32" s="1687">
        <f>+Mali!H46</f>
        <v>597.84500000000003</v>
      </c>
      <c r="D32" s="1687">
        <f>+Mali!I46</f>
        <v>617.08399999999995</v>
      </c>
      <c r="E32" s="1687">
        <f>+Mali!J46</f>
        <v>891.14099999999996</v>
      </c>
      <c r="F32" s="1673">
        <f ca="1">+PGT!G27</f>
        <v>844.86532916013925</v>
      </c>
      <c r="G32" s="71">
        <f ca="1">+PGT!H27</f>
        <v>920.40108384123891</v>
      </c>
      <c r="H32" s="98">
        <f ca="1">+PGT!I27</f>
        <v>1001.0910703466877</v>
      </c>
      <c r="I32" s="98">
        <f ca="1">+PGT!J27</f>
        <v>1090.4330514413632</v>
      </c>
      <c r="J32" s="98">
        <f ca="1">+PGT!K27</f>
        <v>1188.4371805795358</v>
      </c>
      <c r="K32" s="98">
        <f ca="1">+PGT!L27</f>
        <v>1271.8507626886842</v>
      </c>
      <c r="L32" s="98">
        <f ca="1">+PGT!M27</f>
        <v>1343.6348613463533</v>
      </c>
      <c r="M32" s="98">
        <f ca="1">+PGT!N27</f>
        <v>1418.6874453114622</v>
      </c>
      <c r="N32" s="98">
        <f ca="1">+PGT!O27</f>
        <v>1495.3326755096455</v>
      </c>
      <c r="O32" s="98">
        <f ca="1">+PGT!P27</f>
        <v>1583.324075676305</v>
      </c>
    </row>
    <row r="33" spans="2:15" x14ac:dyDescent="0.25">
      <c r="B33" s="99" t="s">
        <v>857</v>
      </c>
      <c r="C33" s="1690">
        <f>+Mali!H47</f>
        <v>1567.1079999999999</v>
      </c>
      <c r="D33" s="1690">
        <f>+Mali!I47</f>
        <v>1821.7539999999999</v>
      </c>
      <c r="E33" s="1690">
        <f>+Mali!J47</f>
        <v>1845.876</v>
      </c>
      <c r="F33" s="1673">
        <f>+E33+E32-Dividant!I19</f>
        <v>2158.1725684486182</v>
      </c>
      <c r="G33" s="71">
        <f ca="1">+F33+F32-Dividant!J19</f>
        <v>2455.3901655490754</v>
      </c>
      <c r="H33" s="98">
        <f ca="1">+G33+G32-Dividant!K19</f>
        <v>2779.1807024147411</v>
      </c>
      <c r="I33" s="98">
        <f ca="1">+H33+H32-Dividant!L19</f>
        <v>3131.3574010407183</v>
      </c>
      <c r="J33" s="98">
        <f ca="1">+I33+I32-Dividant!M19</f>
        <v>3514.9639714162563</v>
      </c>
      <c r="K33" s="98">
        <f ca="1">+J33+J32-Dividant!N19</f>
        <v>3930.8244783664704</v>
      </c>
      <c r="L33" s="98">
        <f ca="1">+K33+K32-Dividant!O19</f>
        <v>4373.4939868593565</v>
      </c>
      <c r="M33" s="98">
        <f ca="1">+L33+L32-Dividant!P19</f>
        <v>4838.6345089592269</v>
      </c>
      <c r="N33" s="98">
        <f ca="1">+M33+M32-Dividant!Q19</f>
        <v>5327.1028430299502</v>
      </c>
      <c r="O33" s="98">
        <f ca="1">+N33+N32-Dividant!R19</f>
        <v>5839.1635710865703</v>
      </c>
    </row>
    <row r="34" spans="2:15" ht="15.75" thickBot="1" x14ac:dyDescent="0.3">
      <c r="B34" s="240" t="s">
        <v>822</v>
      </c>
      <c r="C34" s="1691">
        <f>+OMali!H33</f>
        <v>75.906000000000006</v>
      </c>
      <c r="D34" s="1691">
        <f>+OMali!I33</f>
        <v>43.073</v>
      </c>
      <c r="E34" s="1691">
        <f>+OMali!J33</f>
        <v>18.826000000000001</v>
      </c>
      <c r="F34" s="1679">
        <f ca="1">+E34+PGT!G28-Dividant!I27</f>
        <v>19.375212360703472</v>
      </c>
      <c r="G34" s="1678">
        <f ca="1">+F34+PGT!H28-Dividant!J27</f>
        <v>20.145914226704086</v>
      </c>
      <c r="H34" s="1678">
        <f ca="1">+G34+PGT!I28-Dividant!K27</f>
        <v>20.982204814315921</v>
      </c>
      <c r="I34" s="1678">
        <f ca="1">+H34+PGT!J28-Dividant!L27</f>
        <v>21.895084304497814</v>
      </c>
      <c r="J34" s="1678">
        <f ca="1">+I34+PGT!K28-Dividant!M27</f>
        <v>22.890862006981077</v>
      </c>
      <c r="K34" s="1678">
        <f ca="1">+J34+PGT!L28-Dividant!N27</f>
        <v>23.92298885459374</v>
      </c>
      <c r="L34" s="1678">
        <f ca="1">+K34+PGT!M28-Dividant!O27</f>
        <v>24.986352904156128</v>
      </c>
      <c r="M34" s="1678">
        <f ca="1">+L34+PGT!N28-Dividant!P27</f>
        <v>26.102886184980211</v>
      </c>
      <c r="N34" s="1678">
        <f ca="1">+M34+PGT!O28-Dividant!Q27</f>
        <v>27.270879673910766</v>
      </c>
      <c r="O34" s="1678">
        <f ca="1">+N34+PGT!P28-Dividant!R27</f>
        <v>28.51110444113117</v>
      </c>
    </row>
    <row r="35" spans="2:15" s="975" customFormat="1" ht="16.5" thickBot="1" x14ac:dyDescent="0.3">
      <c r="B35" s="1696" t="s">
        <v>912</v>
      </c>
      <c r="C35" s="1697">
        <f>+C28+C23+C19</f>
        <v>11410.916000000001</v>
      </c>
      <c r="D35" s="1697">
        <f t="shared" ref="D35:E35" si="22">+D28+D23+D19</f>
        <v>12395.005000000001</v>
      </c>
      <c r="E35" s="1697">
        <f t="shared" si="22"/>
        <v>13738.507999999998</v>
      </c>
      <c r="F35" s="1698">
        <f ca="1">+F28+F23+F19</f>
        <v>15108.705347106166</v>
      </c>
      <c r="G35" s="1699">
        <f t="shared" ref="G35:O35" ca="1" si="23">+G28+G23+G19</f>
        <v>16610.045715040229</v>
      </c>
      <c r="H35" s="1699">
        <f t="shared" ca="1" si="23"/>
        <v>18159.39838177622</v>
      </c>
      <c r="I35" s="1699">
        <f t="shared" ca="1" si="23"/>
        <v>19871.569713215191</v>
      </c>
      <c r="J35" s="1699">
        <f t="shared" ca="1" si="23"/>
        <v>21763.409965020168</v>
      </c>
      <c r="K35" s="1699">
        <f t="shared" ca="1" si="23"/>
        <v>23670.627402229708</v>
      </c>
      <c r="L35" s="1699">
        <f t="shared" ca="1" si="23"/>
        <v>25376.901627699997</v>
      </c>
      <c r="M35" s="1699">
        <f t="shared" ca="1" si="23"/>
        <v>27002.544985610042</v>
      </c>
      <c r="N35" s="1699">
        <f t="shared" ca="1" si="23"/>
        <v>28515.474421462426</v>
      </c>
      <c r="O35" s="1699">
        <f t="shared" ca="1" si="23"/>
        <v>30038.568402483579</v>
      </c>
    </row>
  </sheetData>
  <mergeCells count="3">
    <mergeCell ref="B2:B3"/>
    <mergeCell ref="C3:E3"/>
    <mergeCell ref="F3:O3"/>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AB1048370"/>
  <sheetViews>
    <sheetView zoomScale="82" zoomScaleNormal="82" workbookViewId="0">
      <pane xSplit="2" ySplit="1" topLeftCell="C2" activePane="bottomRight" state="frozen"/>
      <selection activeCell="B19" sqref="B19:K20"/>
      <selection pane="topRight" activeCell="B19" sqref="B19:K20"/>
      <selection pane="bottomLeft" activeCell="B19" sqref="B19:K20"/>
      <selection pane="bottomRight" activeCell="R22" sqref="R22"/>
    </sheetView>
  </sheetViews>
  <sheetFormatPr defaultColWidth="9.140625" defaultRowHeight="13.5" x14ac:dyDescent="0.25"/>
  <cols>
    <col min="1" max="1" width="3" style="1" customWidth="1"/>
    <col min="2" max="2" width="40.7109375" style="1" customWidth="1"/>
    <col min="3" max="5" width="8.85546875" style="2" bestFit="1" customWidth="1"/>
    <col min="6" max="6" width="0.85546875" style="1" customWidth="1"/>
    <col min="7" max="7" width="7.85546875" style="1" bestFit="1" customWidth="1" collapsed="1"/>
    <col min="8" max="16" width="8" style="1" bestFit="1" customWidth="1"/>
    <col min="17" max="27" width="9.140625" style="1"/>
    <col min="28" max="29" width="0" style="1" hidden="1" customWidth="1"/>
    <col min="30" max="16384" width="9.140625" style="1"/>
  </cols>
  <sheetData>
    <row r="2" spans="2:28" s="4" customFormat="1" ht="15" x14ac:dyDescent="0.25">
      <c r="C2" s="6"/>
      <c r="D2" s="6"/>
      <c r="E2" s="6"/>
      <c r="F2" s="116"/>
      <c r="G2" s="7"/>
      <c r="H2" s="7"/>
      <c r="I2" s="7"/>
      <c r="K2" s="7"/>
      <c r="L2" s="7"/>
      <c r="M2" s="7"/>
      <c r="N2" s="7"/>
      <c r="O2" s="7"/>
      <c r="P2" s="7"/>
    </row>
    <row r="3" spans="2:28" s="4" customFormat="1" ht="19.899999999999999" customHeight="1" x14ac:dyDescent="0.45">
      <c r="B3" s="2062" t="s">
        <v>943</v>
      </c>
      <c r="C3" s="2059" t="s">
        <v>942</v>
      </c>
      <c r="D3" s="2059"/>
      <c r="E3" s="2059"/>
      <c r="F3" s="116"/>
      <c r="G3" s="2059" t="s">
        <v>992</v>
      </c>
      <c r="H3" s="2059"/>
      <c r="I3" s="2059"/>
      <c r="J3" s="2059"/>
      <c r="K3" s="2059"/>
      <c r="L3" s="2059"/>
      <c r="M3" s="2059"/>
      <c r="N3" s="2059"/>
      <c r="O3" s="2059"/>
      <c r="P3" s="2059"/>
    </row>
    <row r="4" spans="2:28" s="7" customFormat="1" ht="15" customHeight="1" x14ac:dyDescent="0.25">
      <c r="B4" s="2112"/>
      <c r="C4" s="1855" t="str">
        <f>+Mali!H3</f>
        <v>2013/12</v>
      </c>
      <c r="D4" s="1855" t="str">
        <f>+Mali!I3</f>
        <v>2014/12</v>
      </c>
      <c r="E4" s="1855" t="str">
        <f>+Mali!J3</f>
        <v>2015/12</v>
      </c>
      <c r="F4" s="116"/>
      <c r="G4" s="1869" t="str">
        <f>CONCATENATE(Web!$D$9+1,"T")</f>
        <v>2016T</v>
      </c>
      <c r="H4" s="1869" t="str">
        <f>CONCATENATE(Web!$D$9+2,"T")</f>
        <v>2017T</v>
      </c>
      <c r="I4" s="1869" t="str">
        <f>CONCATENATE(Web!$D$9+3,"T")</f>
        <v>2018T</v>
      </c>
      <c r="J4" s="1869" t="str">
        <f>CONCATENATE(Web!$D$9+1,"T")</f>
        <v>2016T</v>
      </c>
      <c r="K4" s="1869" t="str">
        <f>CONCATENATE(Web!$D$9+4,"T")</f>
        <v>2019T</v>
      </c>
      <c r="L4" s="1869" t="str">
        <f>CONCATENATE(Web!$D$9+5,"T")</f>
        <v>2020T</v>
      </c>
      <c r="M4" s="1869" t="str">
        <f>CONCATENATE(Web!$D$9+6,"T")</f>
        <v>2021T</v>
      </c>
      <c r="N4" s="1869" t="str">
        <f>CONCATENATE(Web!$D$9+7,"T")</f>
        <v>2022T</v>
      </c>
      <c r="O4" s="1869" t="str">
        <f>CONCATENATE(Web!$D$9+8,"T")</f>
        <v>2023T</v>
      </c>
      <c r="P4" s="1869" t="str">
        <f>CONCATENATE(Web!$D$9+9,"T")</f>
        <v>2024T</v>
      </c>
    </row>
    <row r="5" spans="2:28" s="7" customFormat="1" ht="15" x14ac:dyDescent="0.25">
      <c r="B5" s="711" t="s">
        <v>946</v>
      </c>
      <c r="C5" s="1227">
        <f>UFRS!H161/1000000</f>
        <v>11097.710999999999</v>
      </c>
      <c r="D5" s="1227">
        <f>UFRS!I161/1000000</f>
        <v>12514.032999999999</v>
      </c>
      <c r="E5" s="1227">
        <f>UFRS!J161/1000000</f>
        <v>14166.1</v>
      </c>
      <c r="F5" s="116"/>
      <c r="G5" s="1226">
        <f>+Sales!E154</f>
        <v>15887.936510951396</v>
      </c>
      <c r="H5" s="1226">
        <f>+Sales!F154</f>
        <v>17657.550911746246</v>
      </c>
      <c r="I5" s="1226">
        <f>+Sales!G154</f>
        <v>19444.673690891348</v>
      </c>
      <c r="J5" s="1226">
        <f>+Sales!H154</f>
        <v>21416.837089600605</v>
      </c>
      <c r="K5" s="1226">
        <f>+Sales!I154</f>
        <v>23593.578072421064</v>
      </c>
      <c r="L5" s="1226">
        <f>+Sales!J154</f>
        <v>25938.916071454521</v>
      </c>
      <c r="M5" s="1226">
        <f>+Sales!K154</f>
        <v>28081.168950086354</v>
      </c>
      <c r="N5" s="1226">
        <f>+Sales!L154</f>
        <v>30213.732173147568</v>
      </c>
      <c r="O5" s="1226">
        <f>+Sales!M154</f>
        <v>32300.616337178635</v>
      </c>
      <c r="P5" s="1226">
        <f>+Sales!N154</f>
        <v>34533.888102892684</v>
      </c>
      <c r="AB5" s="7" t="s">
        <v>286</v>
      </c>
    </row>
    <row r="6" spans="2:28" s="4" customFormat="1" ht="15" x14ac:dyDescent="0.25">
      <c r="B6" s="4" t="s">
        <v>296</v>
      </c>
      <c r="C6" s="98">
        <f>UFRS!H163/1000000</f>
        <v>7709.326</v>
      </c>
      <c r="D6" s="98">
        <f>UFRS!I163/1000000</f>
        <v>8535.2009999999991</v>
      </c>
      <c r="E6" s="98">
        <f>UFRS!J163/1000000</f>
        <v>9630.2070000000003</v>
      </c>
      <c r="F6" s="116"/>
      <c r="G6" s="1591">
        <f>+CoS!E181</f>
        <v>10800.7226691411</v>
      </c>
      <c r="H6" s="1591">
        <f>+CoS!F181</f>
        <v>12003.718058827419</v>
      </c>
      <c r="I6" s="1591">
        <f>+CoS!G181</f>
        <v>13218.615758094162</v>
      </c>
      <c r="J6" s="1591">
        <f>+CoS!H181</f>
        <v>14559.305275137927</v>
      </c>
      <c r="K6" s="1591">
        <f>+CoS!I181</f>
        <v>16039.067965641627</v>
      </c>
      <c r="L6" s="1591">
        <f>+CoS!J181</f>
        <v>17694.998308208349</v>
      </c>
      <c r="M6" s="1591">
        <f>+CoS!K181</f>
        <v>19223.037403328242</v>
      </c>
      <c r="N6" s="1591">
        <f>+CoS!L181</f>
        <v>20754.587764915501</v>
      </c>
      <c r="O6" s="1591">
        <f>+CoS!M181</f>
        <v>22264.772961763127</v>
      </c>
      <c r="P6" s="1591">
        <f>+CoS!N181</f>
        <v>23886.114881703343</v>
      </c>
      <c r="AB6" s="4" t="s">
        <v>205</v>
      </c>
    </row>
    <row r="7" spans="2:28" s="7" customFormat="1" ht="15" x14ac:dyDescent="0.25">
      <c r="B7" s="711" t="s">
        <v>944</v>
      </c>
      <c r="C7" s="1227">
        <f t="shared" ref="C7" si="0">C5-C6</f>
        <v>3388.3849999999993</v>
      </c>
      <c r="D7" s="1227">
        <f>D5-D6</f>
        <v>3978.8320000000003</v>
      </c>
      <c r="E7" s="1227">
        <f>E5-E6</f>
        <v>4535.893</v>
      </c>
      <c r="F7" s="116"/>
      <c r="G7" s="1227">
        <f t="shared" ref="G7:P7" si="1">G5-G6</f>
        <v>5087.2138418102968</v>
      </c>
      <c r="H7" s="1227">
        <f t="shared" si="1"/>
        <v>5653.8328529188275</v>
      </c>
      <c r="I7" s="1227">
        <f t="shared" si="1"/>
        <v>6226.0579327971864</v>
      </c>
      <c r="J7" s="1227">
        <f t="shared" si="1"/>
        <v>6857.5318144626781</v>
      </c>
      <c r="K7" s="1227">
        <f t="shared" si="1"/>
        <v>7554.5101067794367</v>
      </c>
      <c r="L7" s="1227">
        <f t="shared" si="1"/>
        <v>8243.9177632461724</v>
      </c>
      <c r="M7" s="1227">
        <f t="shared" si="1"/>
        <v>8858.1315467581117</v>
      </c>
      <c r="N7" s="1227">
        <f t="shared" si="1"/>
        <v>9459.1444082320668</v>
      </c>
      <c r="O7" s="1227">
        <f t="shared" si="1"/>
        <v>10035.843375415508</v>
      </c>
      <c r="P7" s="1227">
        <f t="shared" si="1"/>
        <v>10647.773221189342</v>
      </c>
      <c r="AB7" s="7" t="s">
        <v>206</v>
      </c>
    </row>
    <row r="8" spans="2:28" s="7" customFormat="1" ht="15" x14ac:dyDescent="0.25">
      <c r="B8" s="1711" t="s">
        <v>945</v>
      </c>
      <c r="C8" s="1712">
        <f>UFRS!H175/1000000</f>
        <v>2527.2379999999998</v>
      </c>
      <c r="D8" s="1712">
        <f>UFRS!I175/1000000</f>
        <v>2991.0909999999999</v>
      </c>
      <c r="E8" s="1712">
        <f>UFRS!J175/1000000</f>
        <v>3449.2550000000001</v>
      </c>
      <c r="F8" s="116"/>
      <c r="G8" s="1713">
        <f>+Opex!L121</f>
        <v>3827.6631960655582</v>
      </c>
      <c r="H8" s="1713">
        <f>+Opex!M121</f>
        <v>4290.1747512802467</v>
      </c>
      <c r="I8" s="1713">
        <f>+Opex!N121</f>
        <v>4757.2623470698891</v>
      </c>
      <c r="J8" s="1713">
        <f>+Opex!O121</f>
        <v>5272.7126961769027</v>
      </c>
      <c r="K8" s="1713">
        <f>+Opex!P121</f>
        <v>5841.6320363515952</v>
      </c>
      <c r="L8" s="1713">
        <f>+Opex!Q121</f>
        <v>6454.6163819524427</v>
      </c>
      <c r="M8" s="1713">
        <f>+Opex!R121</f>
        <v>7014.52181113188</v>
      </c>
      <c r="N8" s="1713">
        <f>+Opex!S121</f>
        <v>7571.8947238119872</v>
      </c>
      <c r="O8" s="1713">
        <f>+Opex!T121</f>
        <v>8117.3288250632977</v>
      </c>
      <c r="P8" s="1713">
        <f>+Opex!U121</f>
        <v>8701.023214707453</v>
      </c>
      <c r="AB8" s="7" t="s">
        <v>207</v>
      </c>
    </row>
    <row r="9" spans="2:28" s="4" customFormat="1" ht="15" x14ac:dyDescent="0.25">
      <c r="B9" s="4" t="s">
        <v>947</v>
      </c>
      <c r="C9" s="98">
        <f>UFRS!H176/1000000</f>
        <v>83.206999999999994</v>
      </c>
      <c r="D9" s="98">
        <f>UFRS!I176/1000000</f>
        <v>102.05500000000001</v>
      </c>
      <c r="E9" s="98">
        <f>UFRS!J176/1000000</f>
        <v>125.173</v>
      </c>
      <c r="F9" s="116"/>
      <c r="G9" s="1591">
        <f>+Opex!L122</f>
        <v>131.05535389460277</v>
      </c>
      <c r="H9" s="1591">
        <f>+Opex!M122</f>
        <v>146.50069371105775</v>
      </c>
      <c r="I9" s="1591">
        <f>+Opex!N122</f>
        <v>162.09884809159695</v>
      </c>
      <c r="J9" s="1591">
        <f>+Opex!O122</f>
        <v>179.31205219581159</v>
      </c>
      <c r="K9" s="1591">
        <f>+Opex!P122</f>
        <v>198.31082625470543</v>
      </c>
      <c r="L9" s="1591">
        <f>+Opex!Q122</f>
        <v>218.7811289168252</v>
      </c>
      <c r="M9" s="1591">
        <f>+Opex!R122</f>
        <v>237.47888797008881</v>
      </c>
      <c r="N9" s="1591">
        <f>+Opex!S122</f>
        <v>256.09207491378692</v>
      </c>
      <c r="O9" s="1591">
        <f>+Opex!T122</f>
        <v>274.30657127896148</v>
      </c>
      <c r="P9" s="1591">
        <f>+Opex!U122</f>
        <v>293.79875065343685</v>
      </c>
      <c r="AB9" s="4" t="s">
        <v>224</v>
      </c>
    </row>
    <row r="10" spans="2:28" s="4" customFormat="1" ht="15" x14ac:dyDescent="0.25">
      <c r="B10" s="4" t="s">
        <v>948</v>
      </c>
      <c r="C10" s="98">
        <f>UFRS!H177/1000000</f>
        <v>2013.0329999999999</v>
      </c>
      <c r="D10" s="98">
        <f>UFRS!I177/1000000</f>
        <v>2356.2469999999998</v>
      </c>
      <c r="E10" s="98">
        <f>UFRS!J177/1000000</f>
        <v>2722.0140000000001</v>
      </c>
      <c r="F10" s="116"/>
      <c r="G10" s="1591">
        <f>+Opex!L123</f>
        <v>3053.819970869029</v>
      </c>
      <c r="H10" s="1591">
        <f>+Opex!M123</f>
        <v>3432.1795379275236</v>
      </c>
      <c r="I10" s="1591">
        <f>+Opex!N123</f>
        <v>3814.282554660434</v>
      </c>
      <c r="J10" s="1591">
        <f>+Opex!O123</f>
        <v>4235.948929758355</v>
      </c>
      <c r="K10" s="1591">
        <f>+Opex!P123</f>
        <v>4701.3558429754394</v>
      </c>
      <c r="L10" s="1591">
        <f>+Opex!Q123</f>
        <v>5202.8103234100199</v>
      </c>
      <c r="M10" s="1591">
        <f>+Opex!R123</f>
        <v>5660.8433679675727</v>
      </c>
      <c r="N10" s="1591">
        <f>+Opex!S123</f>
        <v>6116.8046765102063</v>
      </c>
      <c r="O10" s="1591">
        <f>+Opex!T123</f>
        <v>6562.9993890133173</v>
      </c>
      <c r="P10" s="1591">
        <f>+Opex!U123</f>
        <v>7040.4930949980735</v>
      </c>
      <c r="AB10" s="4" t="s">
        <v>225</v>
      </c>
    </row>
    <row r="11" spans="2:28" s="4" customFormat="1" ht="15" x14ac:dyDescent="0.25">
      <c r="B11" s="4" t="s">
        <v>949</v>
      </c>
      <c r="C11" s="98">
        <f>UFRS!H178/1000000</f>
        <v>430.99799999999999</v>
      </c>
      <c r="D11" s="98">
        <f>UFRS!I178/1000000</f>
        <v>532.78899999999999</v>
      </c>
      <c r="E11" s="98">
        <f>UFRS!J178/1000000</f>
        <v>602.06799999999998</v>
      </c>
      <c r="F11" s="116"/>
      <c r="G11" s="1591">
        <f>+Opex!L124</f>
        <v>642.78787130192632</v>
      </c>
      <c r="H11" s="1591">
        <f>+Opex!M124</f>
        <v>711.49451964166497</v>
      </c>
      <c r="I11" s="1591">
        <f>+Opex!N124</f>
        <v>780.88094431785839</v>
      </c>
      <c r="J11" s="1591">
        <f>+Opex!O124</f>
        <v>857.4517142227362</v>
      </c>
      <c r="K11" s="1591">
        <f>+Opex!P124</f>
        <v>941.96536712145053</v>
      </c>
      <c r="L11" s="1591">
        <f>+Opex!Q124</f>
        <v>1033.0249296255981</v>
      </c>
      <c r="M11" s="1591">
        <f>+Opex!R124</f>
        <v>1116.1995551942184</v>
      </c>
      <c r="N11" s="1591">
        <f>+Opex!S124</f>
        <v>1198.9979723879947</v>
      </c>
      <c r="O11" s="1591">
        <f>+Opex!T124</f>
        <v>1280.0228647710187</v>
      </c>
      <c r="P11" s="1591">
        <f>+Opex!U124</f>
        <v>1366.731369055942</v>
      </c>
      <c r="AB11" s="4" t="s">
        <v>226</v>
      </c>
    </row>
    <row r="12" spans="2:28" s="7" customFormat="1" ht="15" x14ac:dyDescent="0.25">
      <c r="B12" s="711" t="s">
        <v>950</v>
      </c>
      <c r="C12" s="1227">
        <f t="shared" ref="C12" si="2">C7-C8</f>
        <v>861.14699999999948</v>
      </c>
      <c r="D12" s="1227">
        <f>D7-D8</f>
        <v>987.74100000000044</v>
      </c>
      <c r="E12" s="1227">
        <f>E7-E8</f>
        <v>1086.6379999999999</v>
      </c>
      <c r="F12" s="116"/>
      <c r="G12" s="1226">
        <f>+G7-G8</f>
        <v>1259.5506457447386</v>
      </c>
      <c r="H12" s="1226">
        <f t="shared" ref="H12:P12" si="3">+H7-H8</f>
        <v>1363.6581016385808</v>
      </c>
      <c r="I12" s="1226">
        <f t="shared" si="3"/>
        <v>1468.7955857272973</v>
      </c>
      <c r="J12" s="1226">
        <f t="shared" si="3"/>
        <v>1584.8191182857754</v>
      </c>
      <c r="K12" s="1226">
        <f t="shared" si="3"/>
        <v>1712.8780704278415</v>
      </c>
      <c r="L12" s="1226">
        <f t="shared" si="3"/>
        <v>1789.3013812937297</v>
      </c>
      <c r="M12" s="1226">
        <f t="shared" si="3"/>
        <v>1843.6097356262317</v>
      </c>
      <c r="N12" s="1226">
        <f t="shared" si="3"/>
        <v>1887.2496844200796</v>
      </c>
      <c r="O12" s="1226">
        <f t="shared" si="3"/>
        <v>1918.5145503522108</v>
      </c>
      <c r="P12" s="1226">
        <f t="shared" si="3"/>
        <v>1946.7500064818887</v>
      </c>
      <c r="AB12" s="117" t="s">
        <v>208</v>
      </c>
    </row>
    <row r="13" spans="2:28" s="4" customFormat="1" ht="15" x14ac:dyDescent="0.25">
      <c r="B13" s="4" t="s">
        <v>223</v>
      </c>
      <c r="C13" s="107">
        <f>UFRS!H228/1000000</f>
        <v>302.18099999999998</v>
      </c>
      <c r="D13" s="107">
        <f>UFRS!I228/1000000</f>
        <v>346.29300000000001</v>
      </c>
      <c r="E13" s="107">
        <f>UFRS!J228/1000000</f>
        <v>369.82299999999998</v>
      </c>
      <c r="F13" s="116"/>
      <c r="G13" s="1591">
        <f>+'Dep,Amort&amp;Capex'!E99</f>
        <v>454.57932084669727</v>
      </c>
      <c r="H13" s="1591">
        <f>+'Dep,Amort&amp;Capex'!F99</f>
        <v>496.67347885240684</v>
      </c>
      <c r="I13" s="1591">
        <f>+'Dep,Amort&amp;Capex'!G99</f>
        <v>543.47658632103958</v>
      </c>
      <c r="J13" s="1591">
        <f>+'Dep,Amort&amp;Capex'!H99</f>
        <v>595.43604265504075</v>
      </c>
      <c r="K13" s="1591">
        <f>+'Dep,Amort&amp;Capex'!I99</f>
        <v>653.05219033705498</v>
      </c>
      <c r="L13" s="1591">
        <f>+'Dep,Amort&amp;Capex'!J99</f>
        <v>696.59737215254506</v>
      </c>
      <c r="M13" s="1591">
        <f>+'Dep,Amort&amp;Capex'!K99</f>
        <v>731.70906073335993</v>
      </c>
      <c r="N13" s="1591">
        <f>+'Dep,Amort&amp;Capex'!L99</f>
        <v>757.64237858170043</v>
      </c>
      <c r="O13" s="1591">
        <f>+'Dep,Amort&amp;Capex'!M99</f>
        <v>773.67396512836854</v>
      </c>
      <c r="P13" s="1591">
        <f>+'Dep,Amort&amp;Capex'!N99</f>
        <v>779.81745317580919</v>
      </c>
      <c r="AB13" s="4" t="s">
        <v>209</v>
      </c>
    </row>
    <row r="14" spans="2:28" s="7" customFormat="1" ht="15" x14ac:dyDescent="0.25">
      <c r="B14" s="1711" t="s">
        <v>951</v>
      </c>
      <c r="C14" s="1712">
        <f t="shared" ref="C14:E14" si="4">C12+C13</f>
        <v>1163.3279999999995</v>
      </c>
      <c r="D14" s="1712">
        <f t="shared" si="4"/>
        <v>1334.0340000000006</v>
      </c>
      <c r="E14" s="1712">
        <f t="shared" si="4"/>
        <v>1456.4609999999998</v>
      </c>
      <c r="F14" s="116"/>
      <c r="G14" s="1713">
        <f>+G12+G13</f>
        <v>1714.129966591436</v>
      </c>
      <c r="H14" s="1713">
        <f t="shared" ref="H14:P14" si="5">+H12+H13</f>
        <v>1860.3315804909876</v>
      </c>
      <c r="I14" s="1713">
        <f t="shared" si="5"/>
        <v>2012.2721720483369</v>
      </c>
      <c r="J14" s="1713">
        <f t="shared" si="5"/>
        <v>2180.255160940816</v>
      </c>
      <c r="K14" s="1713">
        <f t="shared" si="5"/>
        <v>2365.9302607648965</v>
      </c>
      <c r="L14" s="1713">
        <f t="shared" si="5"/>
        <v>2485.8987534462749</v>
      </c>
      <c r="M14" s="1713">
        <f t="shared" si="5"/>
        <v>2575.3187963595915</v>
      </c>
      <c r="N14" s="1713">
        <f t="shared" si="5"/>
        <v>2644.8920630017801</v>
      </c>
      <c r="O14" s="1713">
        <f t="shared" si="5"/>
        <v>2692.1885154805796</v>
      </c>
      <c r="P14" s="1713">
        <f t="shared" si="5"/>
        <v>2726.5674596576978</v>
      </c>
      <c r="AB14" s="7" t="s">
        <v>229</v>
      </c>
    </row>
    <row r="15" spans="2:28" s="7" customFormat="1" ht="15" x14ac:dyDescent="0.25">
      <c r="B15" s="1711" t="s">
        <v>971</v>
      </c>
      <c r="C15" s="1712">
        <f>(UFRS!H196+UFRS!H182-UFRS!H183)/1000000</f>
        <v>33.869</v>
      </c>
      <c r="D15" s="1712">
        <f>(UFRS!I196+UFRS!I182-UFRS!I183)/1000000</f>
        <v>33.042999999999999</v>
      </c>
      <c r="E15" s="1712">
        <f>(UFRS!J196+UFRS!J182-UFRS!J183)/1000000</f>
        <v>39.478999999999999</v>
      </c>
      <c r="F15" s="116"/>
      <c r="G15" s="1713">
        <f>+Othex!E46</f>
        <v>39.478999999999999</v>
      </c>
      <c r="H15" s="1713">
        <f>+Othex!F46</f>
        <v>39.478999999999999</v>
      </c>
      <c r="I15" s="1713">
        <f>+Othex!G46</f>
        <v>39.478999999999999</v>
      </c>
      <c r="J15" s="1713">
        <f>+Othex!H46</f>
        <v>39.478999999999999</v>
      </c>
      <c r="K15" s="1713">
        <f>+Othex!I46</f>
        <v>39.478999999999999</v>
      </c>
      <c r="L15" s="1713">
        <f>+Othex!J46</f>
        <v>37.490611396406017</v>
      </c>
      <c r="M15" s="1713">
        <f>+Othex!K46</f>
        <v>35.502222792812034</v>
      </c>
      <c r="N15" s="1713">
        <f>+Othex!L46</f>
        <v>33.513834189218052</v>
      </c>
      <c r="O15" s="1713">
        <f>+Othex!M46</f>
        <v>31.52544558562407</v>
      </c>
      <c r="P15" s="1713">
        <f>+Othex!N46</f>
        <v>29.537056982030084</v>
      </c>
      <c r="AB15" s="7" t="s">
        <v>210</v>
      </c>
    </row>
    <row r="16" spans="2:28" s="7" customFormat="1" ht="15" x14ac:dyDescent="0.25">
      <c r="B16" s="1711" t="s">
        <v>952</v>
      </c>
      <c r="C16" s="1712">
        <f t="shared" ref="C16" si="6">C17-C18</f>
        <v>275.19899999999996</v>
      </c>
      <c r="D16" s="1712">
        <f>D17-D18</f>
        <v>-18.951999999999998</v>
      </c>
      <c r="E16" s="1712">
        <f>E17-E18</f>
        <v>196.11899999999997</v>
      </c>
      <c r="F16" s="116"/>
      <c r="G16" s="1713">
        <f t="shared" ref="G16:P16" si="7">G17-G18</f>
        <v>219.956531479467</v>
      </c>
      <c r="H16" s="1713">
        <f t="shared" si="7"/>
        <v>244.45551190947134</v>
      </c>
      <c r="I16" s="1713">
        <f t="shared" si="7"/>
        <v>269.19688266946582</v>
      </c>
      <c r="J16" s="1713">
        <f t="shared" si="7"/>
        <v>296.50000163597474</v>
      </c>
      <c r="K16" s="1713">
        <f t="shared" si="7"/>
        <v>326.63534338915764</v>
      </c>
      <c r="L16" s="1713">
        <f t="shared" si="7"/>
        <v>328.29433589723027</v>
      </c>
      <c r="M16" s="1713">
        <f t="shared" si="7"/>
        <v>322.05259808425643</v>
      </c>
      <c r="N16" s="1713">
        <f t="shared" si="7"/>
        <v>310.62207305253929</v>
      </c>
      <c r="O16" s="1713">
        <f t="shared" si="7"/>
        <v>293.71003690989886</v>
      </c>
      <c r="P16" s="1713">
        <f t="shared" si="7"/>
        <v>272.99759051626671</v>
      </c>
      <c r="AB16" s="7" t="s">
        <v>211</v>
      </c>
    </row>
    <row r="17" spans="2:28" s="54" customFormat="1" ht="15" x14ac:dyDescent="0.25">
      <c r="B17" s="4" t="s">
        <v>954</v>
      </c>
      <c r="C17" s="107">
        <f>UFRS!H185/1000000</f>
        <v>461.61399999999998</v>
      </c>
      <c r="D17" s="107">
        <f>UFRS!I185/1000000</f>
        <v>216.137</v>
      </c>
      <c r="E17" s="107">
        <f>UFRS!J185/1000000</f>
        <v>471.267</v>
      </c>
      <c r="F17" s="116"/>
      <c r="G17" s="1591">
        <f>+Othex!E44</f>
        <v>528.54774254781012</v>
      </c>
      <c r="H17" s="1591">
        <f>+Othex!F44</f>
        <v>587.4179234599444</v>
      </c>
      <c r="I17" s="1591">
        <f>+Othex!G44</f>
        <v>646.87055973664542</v>
      </c>
      <c r="J17" s="1591">
        <f>+Othex!H44</f>
        <v>712.47898607978266</v>
      </c>
      <c r="K17" s="1591">
        <f>+Othex!I44</f>
        <v>784.89314331083767</v>
      </c>
      <c r="L17" s="1591">
        <f>+Othex!J44</f>
        <v>808.11269981921077</v>
      </c>
      <c r="M17" s="1591">
        <f>+Othex!K44</f>
        <v>815.52393530130485</v>
      </c>
      <c r="N17" s="1591">
        <f>+Othex!L44</f>
        <v>813.6219989197316</v>
      </c>
      <c r="O17" s="1591">
        <f>+Othex!M44</f>
        <v>801.57519067122553</v>
      </c>
      <c r="P17" s="1591">
        <f>+Othex!N44</f>
        <v>784.03358973781314</v>
      </c>
      <c r="AB17" s="4" t="s">
        <v>212</v>
      </c>
    </row>
    <row r="18" spans="2:28" s="54" customFormat="1" ht="15" x14ac:dyDescent="0.25">
      <c r="B18" s="4" t="s">
        <v>955</v>
      </c>
      <c r="C18" s="107">
        <f>UFRS!H190/1000000</f>
        <v>186.41499999999999</v>
      </c>
      <c r="D18" s="107">
        <f>UFRS!I190/1000000</f>
        <v>235.089</v>
      </c>
      <c r="E18" s="107">
        <f>UFRS!J190/1000000</f>
        <v>275.14800000000002</v>
      </c>
      <c r="F18" s="116"/>
      <c r="G18" s="1591">
        <f>+Othex!E45</f>
        <v>308.59121106834311</v>
      </c>
      <c r="H18" s="1591">
        <f>+Othex!F45</f>
        <v>342.96241155047306</v>
      </c>
      <c r="I18" s="1591">
        <f>+Othex!G45</f>
        <v>377.6736770671796</v>
      </c>
      <c r="J18" s="1591">
        <f>+Othex!H45</f>
        <v>415.97898444380792</v>
      </c>
      <c r="K18" s="1591">
        <f>+Othex!I45</f>
        <v>458.25779992168003</v>
      </c>
      <c r="L18" s="1591">
        <f>+Othex!J45</f>
        <v>479.81836392198051</v>
      </c>
      <c r="M18" s="1591">
        <f>+Othex!K45</f>
        <v>493.47133721704841</v>
      </c>
      <c r="N18" s="1591">
        <f>+Othex!L45</f>
        <v>502.9999258671923</v>
      </c>
      <c r="O18" s="1591">
        <f>+Othex!M45</f>
        <v>507.86515376132667</v>
      </c>
      <c r="P18" s="1591">
        <f>+Othex!N45</f>
        <v>511.03599922154643</v>
      </c>
      <c r="AB18" s="4" t="s">
        <v>213</v>
      </c>
    </row>
    <row r="19" spans="2:28" s="7" customFormat="1" ht="15" x14ac:dyDescent="0.25">
      <c r="B19" s="1711" t="s">
        <v>953</v>
      </c>
      <c r="C19" s="1712">
        <f t="shared" ref="C19:E19" si="8">C20-C21</f>
        <v>0</v>
      </c>
      <c r="D19" s="1712">
        <f t="shared" si="8"/>
        <v>0</v>
      </c>
      <c r="E19" s="1712">
        <f t="shared" si="8"/>
        <v>0</v>
      </c>
      <c r="F19" s="116"/>
      <c r="G19" s="1713">
        <f t="shared" ref="G19:P19" si="9">G20-G21</f>
        <v>0</v>
      </c>
      <c r="H19" s="1713">
        <f t="shared" si="9"/>
        <v>0</v>
      </c>
      <c r="I19" s="1713">
        <f t="shared" si="9"/>
        <v>0</v>
      </c>
      <c r="J19" s="1713">
        <f t="shared" si="9"/>
        <v>0</v>
      </c>
      <c r="K19" s="1713">
        <f t="shared" si="9"/>
        <v>0</v>
      </c>
      <c r="L19" s="1713">
        <f t="shared" si="9"/>
        <v>0</v>
      </c>
      <c r="M19" s="1713">
        <f t="shared" si="9"/>
        <v>0</v>
      </c>
      <c r="N19" s="1713">
        <f t="shared" si="9"/>
        <v>0</v>
      </c>
      <c r="O19" s="1713">
        <f t="shared" si="9"/>
        <v>0</v>
      </c>
      <c r="P19" s="1713">
        <f t="shared" si="9"/>
        <v>0</v>
      </c>
      <c r="AB19" s="7" t="s">
        <v>211</v>
      </c>
    </row>
    <row r="20" spans="2:28" s="54" customFormat="1" ht="15" x14ac:dyDescent="0.25">
      <c r="B20" s="4" t="s">
        <v>956</v>
      </c>
      <c r="C20" s="107">
        <f>+UFRS!H199/1000000</f>
        <v>0</v>
      </c>
      <c r="D20" s="107">
        <f>+UFRS!I199/1000000</f>
        <v>0</v>
      </c>
      <c r="E20" s="107">
        <f>+UFRS!J199/1000000</f>
        <v>0</v>
      </c>
      <c r="F20" s="116"/>
      <c r="G20" s="4">
        <v>0</v>
      </c>
      <c r="H20" s="4">
        <v>0</v>
      </c>
      <c r="I20" s="4">
        <v>0</v>
      </c>
      <c r="J20" s="4">
        <v>0</v>
      </c>
      <c r="K20" s="4">
        <v>0</v>
      </c>
      <c r="L20" s="4">
        <v>0</v>
      </c>
      <c r="M20" s="4">
        <v>0</v>
      </c>
      <c r="N20" s="4">
        <v>0</v>
      </c>
      <c r="O20" s="4">
        <v>0</v>
      </c>
      <c r="P20" s="4">
        <v>0</v>
      </c>
      <c r="AB20" s="4" t="s">
        <v>212</v>
      </c>
    </row>
    <row r="21" spans="2:28" s="54" customFormat="1" ht="15" x14ac:dyDescent="0.25">
      <c r="B21" s="4" t="s">
        <v>957</v>
      </c>
      <c r="C21" s="107">
        <f>+UFRS!H203/1000000</f>
        <v>0</v>
      </c>
      <c r="D21" s="107">
        <f>+UFRS!I203/1000000</f>
        <v>0</v>
      </c>
      <c r="E21" s="107">
        <f>+UFRS!J203/1000000</f>
        <v>0</v>
      </c>
      <c r="F21" s="116"/>
      <c r="G21" s="4">
        <v>0</v>
      </c>
      <c r="H21" s="4">
        <v>0</v>
      </c>
      <c r="I21" s="4">
        <v>0</v>
      </c>
      <c r="J21" s="4">
        <v>0</v>
      </c>
      <c r="K21" s="4">
        <v>0</v>
      </c>
      <c r="L21" s="4">
        <v>0</v>
      </c>
      <c r="M21" s="4">
        <v>0</v>
      </c>
      <c r="N21" s="4">
        <v>0</v>
      </c>
      <c r="O21" s="4">
        <v>0</v>
      </c>
      <c r="P21" s="4">
        <v>0</v>
      </c>
      <c r="AB21" s="4" t="s">
        <v>213</v>
      </c>
    </row>
    <row r="22" spans="2:28" s="7" customFormat="1" ht="15" x14ac:dyDescent="0.25">
      <c r="B22" s="1711" t="s">
        <v>968</v>
      </c>
      <c r="C22" s="1712">
        <f t="shared" ref="C22" si="10">C23-C24</f>
        <v>-425.43500000000006</v>
      </c>
      <c r="D22" s="1712">
        <f>D23-D24</f>
        <v>-270.21000000000004</v>
      </c>
      <c r="E22" s="1712">
        <f>E23-E24</f>
        <v>-537.11500000000012</v>
      </c>
      <c r="F22" s="116"/>
      <c r="G22" s="1713">
        <f t="shared" ref="G22:P22" ca="1" si="11">G23-G24</f>
        <v>-398.82227932629428</v>
      </c>
      <c r="H22" s="1713">
        <f t="shared" ca="1" si="11"/>
        <v>-452.71647899157955</v>
      </c>
      <c r="I22" s="1713">
        <f t="shared" ca="1" si="11"/>
        <v>-501.6352909004882</v>
      </c>
      <c r="J22" s="1713">
        <f t="shared" ca="1" si="11"/>
        <v>-555.24762636694413</v>
      </c>
      <c r="K22" s="1713">
        <f t="shared" ca="1" si="11"/>
        <v>-615.17821428374509</v>
      </c>
      <c r="L22" s="1713">
        <f t="shared" ca="1" si="11"/>
        <v>-674.67850432558089</v>
      </c>
      <c r="M22" s="1713">
        <f t="shared" ca="1" si="11"/>
        <v>-726.60562710557338</v>
      </c>
      <c r="N22" s="1713">
        <f t="shared" ca="1" si="11"/>
        <v>-768.58039824865875</v>
      </c>
      <c r="O22" s="1713">
        <f t="shared" ca="1" si="11"/>
        <v>-799.88681597578307</v>
      </c>
      <c r="P22" s="1713">
        <f t="shared" ca="1" si="11"/>
        <v>-823.45243728456603</v>
      </c>
      <c r="AB22" s="7" t="s">
        <v>214</v>
      </c>
    </row>
    <row r="23" spans="2:28" s="4" customFormat="1" ht="15" x14ac:dyDescent="0.25">
      <c r="B23" s="4" t="s">
        <v>963</v>
      </c>
      <c r="C23" s="107">
        <f>UFRS!H197/1000000</f>
        <v>429.37599999999998</v>
      </c>
      <c r="D23" s="107">
        <f>UFRS!I197/1000000</f>
        <v>476.12599999999998</v>
      </c>
      <c r="E23" s="107">
        <f>UFRS!J197/1000000</f>
        <v>782.55499999999995</v>
      </c>
      <c r="F23" s="116"/>
      <c r="G23" s="1591">
        <f>Mali!J5*Vars!L21</f>
        <v>216.7627</v>
      </c>
      <c r="H23" s="1591">
        <f ca="1">(PBL!F7+PBL!F6)*Vars!M21</f>
        <v>243.10939606118865</v>
      </c>
      <c r="I23" s="1591">
        <f ca="1">(PBL!G7+PBL!G6)*Vars!N21</f>
        <v>270.18716591140668</v>
      </c>
      <c r="J23" s="1591">
        <f ca="1">(PBL!H7+PBL!H6)*Vars!O21</f>
        <v>297.53284036231383</v>
      </c>
      <c r="K23" s="1591">
        <f ca="1">(PBL!I7+PBL!I6)*Vars!P21</f>
        <v>327.70991543205042</v>
      </c>
      <c r="L23" s="1591">
        <f ca="1">(PBL!J7+PBL!J6)*Vars!Q21</f>
        <v>361.01733615030145</v>
      </c>
      <c r="M23" s="1591">
        <f ca="1">(PBL!K7+PBL!K6)*Vars!R21</f>
        <v>391.05011225377763</v>
      </c>
      <c r="N23" s="1591">
        <f ca="1">(PBL!L7+PBL!L6)*Vars!S21</f>
        <v>417.00836341199704</v>
      </c>
      <c r="O23" s="1591">
        <f ca="1">(PBL!M7+PBL!M6)*Vars!T21</f>
        <v>441.85789286804675</v>
      </c>
      <c r="P23" s="1591">
        <f ca="1">(PBL!N7+PBL!N6)*Vars!U21</f>
        <v>465.08706069010378</v>
      </c>
      <c r="AB23" s="4" t="s">
        <v>215</v>
      </c>
    </row>
    <row r="24" spans="2:28" s="4" customFormat="1" ht="15" x14ac:dyDescent="0.25">
      <c r="B24" s="4" t="s">
        <v>964</v>
      </c>
      <c r="C24" s="107">
        <f>(UFRS!H198+UFRS!H191)/1000000</f>
        <v>854.81100000000004</v>
      </c>
      <c r="D24" s="107">
        <f>(UFRS!I198+UFRS!I191)/1000000</f>
        <v>746.33600000000001</v>
      </c>
      <c r="E24" s="107">
        <f>(UFRS!J198+UFRS!J191)/1000000</f>
        <v>1319.67</v>
      </c>
      <c r="F24" s="116"/>
      <c r="G24" s="1591">
        <f ca="1">+Debt!L36</f>
        <v>615.58497932629427</v>
      </c>
      <c r="H24" s="1591">
        <f ca="1">+Debt!M36</f>
        <v>695.8258750527682</v>
      </c>
      <c r="I24" s="1591">
        <f ca="1">+Debt!N36</f>
        <v>771.82245681189488</v>
      </c>
      <c r="J24" s="1591">
        <f ca="1">+Debt!O36</f>
        <v>852.78046672925802</v>
      </c>
      <c r="K24" s="1591">
        <f ca="1">+Debt!P36</f>
        <v>942.88812971579557</v>
      </c>
      <c r="L24" s="1591">
        <f ca="1">+Debt!Q36</f>
        <v>1035.6958404758823</v>
      </c>
      <c r="M24" s="1591">
        <f ca="1">+Debt!R36</f>
        <v>1117.6557393593509</v>
      </c>
      <c r="N24" s="1591">
        <f ca="1">+Debt!S36</f>
        <v>1185.5887616606558</v>
      </c>
      <c r="O24" s="1591">
        <f ca="1">+Debt!T36</f>
        <v>1241.7447088438298</v>
      </c>
      <c r="P24" s="1591">
        <f ca="1">+Debt!U36</f>
        <v>1288.5394979746698</v>
      </c>
      <c r="AB24" s="4" t="s">
        <v>216</v>
      </c>
    </row>
    <row r="25" spans="2:28" s="7" customFormat="1" ht="15" x14ac:dyDescent="0.25">
      <c r="B25" s="1711" t="s">
        <v>965</v>
      </c>
      <c r="C25" s="1712">
        <f t="shared" ref="C25:P25" si="12">C12+C16+C22+C15+C19</f>
        <v>744.77999999999952</v>
      </c>
      <c r="D25" s="1712">
        <f t="shared" si="12"/>
        <v>731.62200000000041</v>
      </c>
      <c r="E25" s="1712">
        <f t="shared" si="12"/>
        <v>785.12099999999975</v>
      </c>
      <c r="F25" s="116"/>
      <c r="G25" s="1713">
        <f t="shared" ca="1" si="12"/>
        <v>1056.0816614501741</v>
      </c>
      <c r="H25" s="1713">
        <f t="shared" ca="1" si="12"/>
        <v>1150.5013548015486</v>
      </c>
      <c r="I25" s="1713">
        <f t="shared" ca="1" si="12"/>
        <v>1251.3638379333597</v>
      </c>
      <c r="J25" s="1713">
        <f t="shared" ca="1" si="12"/>
        <v>1363.041314301704</v>
      </c>
      <c r="K25" s="1713">
        <f t="shared" ca="1" si="12"/>
        <v>1485.5464757244197</v>
      </c>
      <c r="L25" s="1713">
        <f t="shared" ca="1" si="12"/>
        <v>1589.8134533608552</v>
      </c>
      <c r="M25" s="1713">
        <f t="shared" ca="1" si="12"/>
        <v>1679.5435766829416</v>
      </c>
      <c r="N25" s="1713">
        <f t="shared" ca="1" si="12"/>
        <v>1773.3593066393278</v>
      </c>
      <c r="O25" s="1713">
        <f t="shared" ca="1" si="12"/>
        <v>1869.1658443870567</v>
      </c>
      <c r="P25" s="1713">
        <f t="shared" ca="1" si="12"/>
        <v>1979.1550945953813</v>
      </c>
      <c r="AB25" s="7" t="s">
        <v>227</v>
      </c>
    </row>
    <row r="26" spans="2:28" s="4" customFormat="1" ht="15" x14ac:dyDescent="0.25">
      <c r="B26" s="4" t="s">
        <v>966</v>
      </c>
      <c r="C26" s="107">
        <f>UFRS!H215/1000000</f>
        <v>122.08499999999999</v>
      </c>
      <c r="D26" s="107">
        <f>UFRS!I215/1000000</f>
        <v>93.644000000000005</v>
      </c>
      <c r="E26" s="107">
        <f>UFRS!J215/1000000</f>
        <v>-107.872</v>
      </c>
      <c r="F26" s="116"/>
      <c r="G26" s="1591">
        <f ca="1">+G25*Vars!L15</f>
        <v>211.21633229003484</v>
      </c>
      <c r="H26" s="1591">
        <f ca="1">+H25*Vars!M15</f>
        <v>230.10027096030973</v>
      </c>
      <c r="I26" s="1591">
        <f ca="1">+I25*Vars!N15</f>
        <v>250.27276758667196</v>
      </c>
      <c r="J26" s="1591">
        <f ca="1">+J25*Vars!O15</f>
        <v>272.6082628603408</v>
      </c>
      <c r="K26" s="1591">
        <f ca="1">+K25*Vars!P15</f>
        <v>297.10929514488396</v>
      </c>
      <c r="L26" s="1591">
        <f ca="1">+L25*Vars!Q15</f>
        <v>317.96269067217105</v>
      </c>
      <c r="M26" s="1591">
        <f ca="1">+M25*Vars!R15</f>
        <v>335.90871533658833</v>
      </c>
      <c r="N26" s="1591">
        <f ca="1">+N25*Vars!S15</f>
        <v>354.6718613278656</v>
      </c>
      <c r="O26" s="1591">
        <f ca="1">+O25*Vars!T15</f>
        <v>373.83316887741137</v>
      </c>
      <c r="P26" s="1591">
        <f ca="1">+P25*Vars!U15</f>
        <v>395.83101891907631</v>
      </c>
      <c r="AB26" s="4" t="s">
        <v>228</v>
      </c>
    </row>
    <row r="27" spans="2:28" s="7" customFormat="1" ht="15" x14ac:dyDescent="0.25">
      <c r="B27" s="1711" t="s">
        <v>967</v>
      </c>
      <c r="C27" s="1712">
        <f t="shared" ref="C27:E27" si="13">C25-C26</f>
        <v>622.69499999999948</v>
      </c>
      <c r="D27" s="1712">
        <f t="shared" si="13"/>
        <v>637.97800000000041</v>
      </c>
      <c r="E27" s="1712">
        <f t="shared" si="13"/>
        <v>892.99299999999971</v>
      </c>
      <c r="F27" s="116"/>
      <c r="G27" s="1713">
        <f t="shared" ref="G27:P27" ca="1" si="14">G25-G26</f>
        <v>844.86532916013925</v>
      </c>
      <c r="H27" s="1713">
        <f t="shared" ca="1" si="14"/>
        <v>920.40108384123891</v>
      </c>
      <c r="I27" s="1713">
        <f t="shared" ca="1" si="14"/>
        <v>1001.0910703466877</v>
      </c>
      <c r="J27" s="1713">
        <f t="shared" ca="1" si="14"/>
        <v>1090.4330514413632</v>
      </c>
      <c r="K27" s="1713">
        <f t="shared" ca="1" si="14"/>
        <v>1188.4371805795358</v>
      </c>
      <c r="L27" s="1713">
        <f t="shared" ca="1" si="14"/>
        <v>1271.8507626886842</v>
      </c>
      <c r="M27" s="1713">
        <f t="shared" ca="1" si="14"/>
        <v>1343.6348613463533</v>
      </c>
      <c r="N27" s="1713">
        <f t="shared" ca="1" si="14"/>
        <v>1418.6874453114622</v>
      </c>
      <c r="O27" s="1713">
        <f t="shared" ca="1" si="14"/>
        <v>1495.3326755096455</v>
      </c>
      <c r="P27" s="1713">
        <f t="shared" ca="1" si="14"/>
        <v>1583.324075676305</v>
      </c>
      <c r="AB27" s="7" t="s">
        <v>217</v>
      </c>
    </row>
    <row r="28" spans="2:28" s="4" customFormat="1" ht="15" x14ac:dyDescent="0.25">
      <c r="B28" s="4" t="s">
        <v>90</v>
      </c>
      <c r="C28" s="107">
        <f>UFRS!H225/1000000</f>
        <v>24.85</v>
      </c>
      <c r="D28" s="107">
        <f>UFRS!I225/1000000</f>
        <v>20.893999999999998</v>
      </c>
      <c r="E28" s="107">
        <f>UFRS!J225/1000000</f>
        <v>1.8520000000000001</v>
      </c>
      <c r="F28" s="116"/>
      <c r="G28" s="1612">
        <f ca="1">+$E$28/$E$27*G27</f>
        <v>1.7521868476063962</v>
      </c>
      <c r="H28" s="1612">
        <f t="shared" ref="H28:P28" ca="1" si="15">+$E$28/$E$27*H27</f>
        <v>1.9088422947032901</v>
      </c>
      <c r="I28" s="1612">
        <f t="shared" ca="1" si="15"/>
        <v>2.0761872291071337</v>
      </c>
      <c r="J28" s="1612">
        <f t="shared" ca="1" si="15"/>
        <v>2.2614757464721511</v>
      </c>
      <c r="K28" s="1612">
        <f t="shared" ca="1" si="15"/>
        <v>2.4647289042952201</v>
      </c>
      <c r="L28" s="1612">
        <f t="shared" ca="1" si="15"/>
        <v>2.6377223701635333</v>
      </c>
      <c r="M28" s="1612">
        <f t="shared" ca="1" si="15"/>
        <v>2.7865971661742561</v>
      </c>
      <c r="N28" s="1612">
        <f t="shared" ca="1" si="15"/>
        <v>2.942250553718595</v>
      </c>
      <c r="O28" s="1612">
        <f t="shared" ca="1" si="15"/>
        <v>3.1012069691966953</v>
      </c>
      <c r="P28" s="1612">
        <f t="shared" ca="1" si="15"/>
        <v>3.2836944837781687</v>
      </c>
      <c r="AB28" s="4" t="s">
        <v>202</v>
      </c>
    </row>
    <row r="29" spans="2:28" s="7" customFormat="1" ht="15.75" thickBot="1" x14ac:dyDescent="0.3">
      <c r="B29" s="1714" t="s">
        <v>91</v>
      </c>
      <c r="C29" s="1715">
        <f t="shared" ref="C29" si="16">C27-C28</f>
        <v>597.84499999999946</v>
      </c>
      <c r="D29" s="1715">
        <f>D27-D28</f>
        <v>617.0840000000004</v>
      </c>
      <c r="E29" s="1715">
        <f>E27-E28</f>
        <v>891.14099999999974</v>
      </c>
      <c r="F29" s="116"/>
      <c r="G29" s="1716">
        <f t="shared" ref="G29:P29" ca="1" si="17">G27-G28</f>
        <v>843.11314231253289</v>
      </c>
      <c r="H29" s="1716">
        <f t="shared" ca="1" si="17"/>
        <v>918.49224154653564</v>
      </c>
      <c r="I29" s="1716">
        <f t="shared" ca="1" si="17"/>
        <v>999.01488311758055</v>
      </c>
      <c r="J29" s="1716">
        <f t="shared" ca="1" si="17"/>
        <v>1088.1715756948911</v>
      </c>
      <c r="K29" s="1716">
        <f t="shared" ca="1" si="17"/>
        <v>1185.9724516752406</v>
      </c>
      <c r="L29" s="1716">
        <f t="shared" ca="1" si="17"/>
        <v>1269.2130403185206</v>
      </c>
      <c r="M29" s="1716">
        <f t="shared" ca="1" si="17"/>
        <v>1340.8482641801791</v>
      </c>
      <c r="N29" s="1716">
        <f t="shared" ca="1" si="17"/>
        <v>1415.7451947577435</v>
      </c>
      <c r="O29" s="1716">
        <f t="shared" ca="1" si="17"/>
        <v>1492.2314685404488</v>
      </c>
      <c r="P29" s="1716">
        <f t="shared" ca="1" si="17"/>
        <v>1580.0403811925269</v>
      </c>
      <c r="AB29" s="7" t="s">
        <v>218</v>
      </c>
    </row>
    <row r="30" spans="2:28" s="4" customFormat="1" ht="15" x14ac:dyDescent="0.25">
      <c r="C30" s="6"/>
      <c r="D30" s="6"/>
      <c r="E30" s="6"/>
      <c r="F30" s="116"/>
    </row>
    <row r="31" spans="2:28" x14ac:dyDescent="0.25">
      <c r="C31" s="1590"/>
      <c r="D31" s="1590"/>
      <c r="E31" s="1590"/>
    </row>
    <row r="32" spans="2:28" x14ac:dyDescent="0.25">
      <c r="C32" s="101"/>
      <c r="D32" s="101"/>
      <c r="E32" s="101"/>
    </row>
    <row r="33" spans="3:5" x14ac:dyDescent="0.25">
      <c r="C33" s="1589"/>
      <c r="D33" s="1589"/>
      <c r="E33" s="1589"/>
    </row>
    <row r="34" spans="3:5" x14ac:dyDescent="0.25">
      <c r="C34" s="1589"/>
      <c r="D34" s="1589"/>
      <c r="E34" s="1589"/>
    </row>
    <row r="1048370" spans="2:17" s="2" customFormat="1" x14ac:dyDescent="0.25">
      <c r="B1048370" s="1" t="s">
        <v>990</v>
      </c>
      <c r="F1048370" s="1"/>
      <c r="G1048370" s="1"/>
      <c r="H1048370" s="1"/>
      <c r="I1048370" s="1"/>
      <c r="J1048370" s="1"/>
      <c r="K1048370" s="1"/>
      <c r="L1048370" s="1"/>
      <c r="M1048370" s="1"/>
      <c r="N1048370" s="1"/>
      <c r="O1048370" s="1"/>
      <c r="P1048370" s="1"/>
      <c r="Q1048370" s="1"/>
    </row>
  </sheetData>
  <mergeCells count="3">
    <mergeCell ref="G3:P3"/>
    <mergeCell ref="B3:B4"/>
    <mergeCell ref="C3:E3"/>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sheetPr>
  <dimension ref="B4:Z29"/>
  <sheetViews>
    <sheetView zoomScale="84" zoomScaleNormal="84" workbookViewId="0">
      <selection activeCell="Z30" sqref="Z30"/>
    </sheetView>
  </sheetViews>
  <sheetFormatPr defaultColWidth="9.140625" defaultRowHeight="15" x14ac:dyDescent="0.25"/>
  <cols>
    <col min="1" max="1" width="9.140625" style="1170"/>
    <col min="2" max="2" width="4" style="1170" bestFit="1" customWidth="1"/>
    <col min="3" max="3" width="28.7109375" style="1170" customWidth="1"/>
    <col min="4" max="4" width="10.42578125" style="1170" bestFit="1" customWidth="1"/>
    <col min="5" max="6" width="9.140625" style="1170"/>
    <col min="7" max="7" width="10" style="1170" customWidth="1"/>
    <col min="8" max="8" width="15.7109375" style="1170" customWidth="1"/>
    <col min="9" max="11" width="6.7109375" style="1170" bestFit="1" customWidth="1"/>
    <col min="12" max="12" width="8.28515625" style="1170" bestFit="1" customWidth="1"/>
    <col min="13" max="18" width="6.7109375" style="1170" bestFit="1" customWidth="1"/>
    <col min="19" max="21" width="9.140625" style="1170"/>
    <col min="22" max="24" width="9" style="1170" customWidth="1"/>
    <col min="25" max="25" width="9" style="1631" customWidth="1"/>
    <col min="26" max="33" width="9" style="1170" customWidth="1"/>
    <col min="34" max="16384" width="9.140625" style="1170"/>
  </cols>
  <sheetData>
    <row r="4" spans="2:25" s="4" customFormat="1" ht="24" customHeight="1" thickBot="1" x14ac:dyDescent="0.4">
      <c r="B4" s="1521"/>
      <c r="C4" s="1522" t="s">
        <v>1266</v>
      </c>
      <c r="D4" s="1523"/>
      <c r="E4" s="1523"/>
      <c r="F4" s="1523"/>
      <c r="G4" s="1523"/>
      <c r="H4" s="1523"/>
      <c r="I4" s="1523"/>
      <c r="J4" s="1523"/>
      <c r="K4" s="1523"/>
      <c r="L4" s="1524"/>
      <c r="M4" s="1524"/>
      <c r="N4" s="1524"/>
      <c r="O4" s="1525"/>
      <c r="P4" s="1526"/>
      <c r="Q4" s="1525"/>
      <c r="R4" s="1525"/>
      <c r="S4" s="1526"/>
      <c r="T4" s="1526"/>
      <c r="U4" s="1634"/>
      <c r="Y4" s="1591"/>
    </row>
    <row r="5" spans="2:25" s="4" customFormat="1" ht="7.15" customHeight="1" thickBot="1" x14ac:dyDescent="0.3">
      <c r="Y5" s="1591"/>
    </row>
    <row r="6" spans="2:25" s="319" customFormat="1" ht="19.5" thickBot="1" x14ac:dyDescent="0.35">
      <c r="B6" s="1280" t="s">
        <v>251</v>
      </c>
      <c r="C6" s="1281" t="s">
        <v>1272</v>
      </c>
      <c r="D6" s="1282"/>
      <c r="E6" s="1282"/>
      <c r="F6" s="1282"/>
      <c r="G6" s="1283"/>
      <c r="H6" s="1284"/>
      <c r="I6" s="1285"/>
      <c r="J6" s="1285"/>
      <c r="K6" s="1285"/>
      <c r="L6" s="1286"/>
      <c r="M6" s="1286"/>
      <c r="N6" s="1286"/>
      <c r="O6" s="1286"/>
      <c r="P6" s="1286"/>
      <c r="Q6" s="1286"/>
      <c r="R6" s="1286"/>
      <c r="S6" s="1286"/>
      <c r="T6" s="1286"/>
      <c r="U6" s="1287"/>
      <c r="Y6" s="1632"/>
    </row>
    <row r="7" spans="2:25" s="319" customFormat="1" ht="6" customHeight="1" x14ac:dyDescent="0.3">
      <c r="Y7" s="1632"/>
    </row>
    <row r="8" spans="2:25" ht="18.75" customHeight="1" x14ac:dyDescent="0.25">
      <c r="B8" s="1667"/>
      <c r="C8" s="1664" t="s">
        <v>1274</v>
      </c>
      <c r="D8" s="1665"/>
      <c r="E8" s="1665"/>
      <c r="F8" s="1665"/>
      <c r="G8" s="1665"/>
      <c r="H8" s="1665"/>
      <c r="I8" s="1665"/>
      <c r="J8" s="1665"/>
      <c r="K8" s="1665"/>
      <c r="L8" s="1665"/>
      <c r="M8" s="1665"/>
      <c r="N8" s="1665"/>
      <c r="O8" s="1665"/>
      <c r="P8" s="1665"/>
      <c r="Q8" s="1665"/>
      <c r="R8" s="1665"/>
      <c r="S8" s="1665"/>
      <c r="T8" s="1665"/>
      <c r="U8" s="1666"/>
    </row>
    <row r="9" spans="2:25" s="319" customFormat="1" ht="7.5" customHeight="1" x14ac:dyDescent="0.3">
      <c r="Y9" s="1632"/>
    </row>
    <row r="10" spans="2:25" s="122" customFormat="1" ht="15.75" x14ac:dyDescent="0.25">
      <c r="C10" s="725" t="s">
        <v>1156</v>
      </c>
      <c r="D10" s="872">
        <v>1</v>
      </c>
      <c r="E10" s="872">
        <f>D10+1</f>
        <v>2</v>
      </c>
      <c r="F10" s="872">
        <f t="shared" ref="F10:K10" si="0">E10+1</f>
        <v>3</v>
      </c>
      <c r="G10" s="872">
        <f t="shared" si="0"/>
        <v>4</v>
      </c>
      <c r="H10" s="872">
        <f t="shared" si="0"/>
        <v>5</v>
      </c>
      <c r="I10" s="872">
        <f t="shared" si="0"/>
        <v>6</v>
      </c>
      <c r="J10" s="872">
        <f t="shared" si="0"/>
        <v>7</v>
      </c>
      <c r="K10" s="872">
        <f t="shared" si="0"/>
        <v>8</v>
      </c>
      <c r="Y10" s="1633"/>
    </row>
    <row r="11" spans="2:25" s="122" customFormat="1" ht="16.5" thickBot="1" x14ac:dyDescent="0.3">
      <c r="C11" s="1635"/>
      <c r="D11" s="1652" t="str">
        <f>Sales!D8</f>
        <v>2008</v>
      </c>
      <c r="E11" s="1636" t="str">
        <f>Sales!E8</f>
        <v>2009</v>
      </c>
      <c r="F11" s="1636" t="str">
        <f>Sales!F8</f>
        <v>2010</v>
      </c>
      <c r="G11" s="1636" t="str">
        <f>Sales!G8</f>
        <v>2011</v>
      </c>
      <c r="H11" s="1636" t="str">
        <f>Sales!H8</f>
        <v>2012</v>
      </c>
      <c r="I11" s="1636" t="str">
        <f>Sales!I8</f>
        <v>2013</v>
      </c>
      <c r="J11" s="1636" t="str">
        <f>Sales!J8</f>
        <v>2014</v>
      </c>
      <c r="K11" s="1653" t="str">
        <f>Sales!K8</f>
        <v>2015</v>
      </c>
      <c r="L11" s="1636">
        <f>K11+1</f>
        <v>2016</v>
      </c>
      <c r="M11" s="1636">
        <f t="shared" ref="M11:U11" si="1">L11+1</f>
        <v>2017</v>
      </c>
      <c r="N11" s="1636">
        <f t="shared" si="1"/>
        <v>2018</v>
      </c>
      <c r="O11" s="1636">
        <f t="shared" si="1"/>
        <v>2019</v>
      </c>
      <c r="P11" s="1636">
        <f t="shared" si="1"/>
        <v>2020</v>
      </c>
      <c r="Q11" s="1636">
        <f t="shared" si="1"/>
        <v>2021</v>
      </c>
      <c r="R11" s="1636">
        <f t="shared" si="1"/>
        <v>2022</v>
      </c>
      <c r="S11" s="1636">
        <f t="shared" si="1"/>
        <v>2023</v>
      </c>
      <c r="T11" s="1636">
        <f t="shared" si="1"/>
        <v>2024</v>
      </c>
      <c r="U11" s="1637">
        <f t="shared" si="1"/>
        <v>2025</v>
      </c>
      <c r="Y11" s="1633"/>
    </row>
    <row r="12" spans="2:25" s="122" customFormat="1" ht="15.75" x14ac:dyDescent="0.25">
      <c r="C12" s="1638" t="s">
        <v>1268</v>
      </c>
      <c r="D12" s="1654">
        <f>+Mali!C46</f>
        <v>39.793999999999997</v>
      </c>
      <c r="E12" s="876">
        <f>+Mali!D46</f>
        <v>485.41</v>
      </c>
      <c r="F12" s="876">
        <f>+Mali!E46</f>
        <v>517.09299999999996</v>
      </c>
      <c r="G12" s="876">
        <f>+Mali!F46</f>
        <v>506.50599999999997</v>
      </c>
      <c r="H12" s="876">
        <f>+Mali!G46</f>
        <v>524.76400000000001</v>
      </c>
      <c r="I12" s="876">
        <f>+Mali!H46</f>
        <v>597.84500000000003</v>
      </c>
      <c r="J12" s="876">
        <f>+Mali!I46</f>
        <v>617.08399999999995</v>
      </c>
      <c r="K12" s="1655">
        <f>+Mali!J46</f>
        <v>891.14099999999996</v>
      </c>
      <c r="L12" s="987">
        <f ca="1">+PGT!G29</f>
        <v>843.11314231253289</v>
      </c>
      <c r="M12" s="987">
        <f ca="1">+PGT!H29</f>
        <v>918.49224154653564</v>
      </c>
      <c r="N12" s="987">
        <f ca="1">+PGT!I29</f>
        <v>999.01488311758055</v>
      </c>
      <c r="O12" s="987">
        <f ca="1">+PGT!J29</f>
        <v>1088.1715756948911</v>
      </c>
      <c r="P12" s="987">
        <f ca="1">+PGT!K29</f>
        <v>1185.9724516752406</v>
      </c>
      <c r="Q12" s="987">
        <f ca="1">+PGT!L29</f>
        <v>1269.2130403185206</v>
      </c>
      <c r="R12" s="987">
        <f ca="1">+PGT!M29</f>
        <v>1340.8482641801791</v>
      </c>
      <c r="S12" s="987">
        <f ca="1">+PGT!N29</f>
        <v>1415.7451947577435</v>
      </c>
      <c r="T12" s="987">
        <f ca="1">+PGT!O29</f>
        <v>1492.2314685404488</v>
      </c>
      <c r="U12" s="1639">
        <f ca="1">+PGT!P29</f>
        <v>1580.0403811925269</v>
      </c>
      <c r="Y12" s="1633"/>
    </row>
    <row r="13" spans="2:25" s="122" customFormat="1" ht="15.75" x14ac:dyDescent="0.25">
      <c r="C13" s="1638" t="s">
        <v>1267</v>
      </c>
      <c r="D13" s="1654"/>
      <c r="E13" s="876"/>
      <c r="F13" s="876">
        <f>+Duz!F47</f>
        <v>98.520999999999958</v>
      </c>
      <c r="G13" s="876">
        <f>+Duz!G47</f>
        <v>248.33900000000017</v>
      </c>
      <c r="H13" s="876">
        <f>+Duz!H47</f>
        <v>298.35200000000009</v>
      </c>
      <c r="I13" s="876">
        <f>+Duz!I47</f>
        <v>572.04099999999994</v>
      </c>
      <c r="J13" s="876">
        <f>+Duz!J47</f>
        <v>343.19900000000007</v>
      </c>
      <c r="K13" s="1655">
        <f>+Duz!K47</f>
        <v>592.96199999999976</v>
      </c>
      <c r="L13" s="876"/>
      <c r="M13" s="876"/>
      <c r="N13" s="876"/>
      <c r="O13" s="876"/>
      <c r="P13" s="876"/>
      <c r="Q13" s="876"/>
      <c r="R13" s="876"/>
      <c r="S13" s="876"/>
      <c r="T13" s="876"/>
      <c r="U13" s="1640"/>
      <c r="Y13" s="1633"/>
    </row>
    <row r="14" spans="2:25" s="122" customFormat="1" ht="15.75" x14ac:dyDescent="0.25">
      <c r="C14" s="1641" t="s">
        <v>1269</v>
      </c>
      <c r="D14" s="1656"/>
      <c r="E14" s="1642"/>
      <c r="F14" s="1642">
        <f>+F13/E12</f>
        <v>0.20296450423353443</v>
      </c>
      <c r="G14" s="1642">
        <f t="shared" ref="G14:K14" si="2">+G13/F12</f>
        <v>0.48025983720529997</v>
      </c>
      <c r="H14" s="1642">
        <f t="shared" si="2"/>
        <v>0.58903941907894497</v>
      </c>
      <c r="I14" s="1642">
        <f t="shared" si="2"/>
        <v>1.0900919270376777</v>
      </c>
      <c r="J14" s="1642">
        <f t="shared" si="2"/>
        <v>0.57406016609656363</v>
      </c>
      <c r="K14" s="1657">
        <f t="shared" si="2"/>
        <v>0.96090969786933356</v>
      </c>
      <c r="L14" s="1642"/>
      <c r="M14" s="1642"/>
      <c r="N14" s="1642"/>
      <c r="O14" s="1642"/>
      <c r="P14" s="1642"/>
      <c r="Q14" s="1642"/>
      <c r="R14" s="1642"/>
      <c r="S14" s="1642"/>
      <c r="T14" s="1642"/>
      <c r="U14" s="1643"/>
      <c r="Y14" s="1633"/>
    </row>
    <row r="16" spans="2:25" ht="16.5" thickBot="1" x14ac:dyDescent="0.3">
      <c r="C16" s="1644" t="s">
        <v>1270</v>
      </c>
      <c r="D16" s="1645"/>
      <c r="E16" s="890"/>
      <c r="F16" s="890"/>
      <c r="G16" s="890"/>
      <c r="H16" s="890"/>
      <c r="I16" s="890"/>
      <c r="J16" s="890"/>
      <c r="K16" s="890"/>
      <c r="L16" s="890"/>
      <c r="M16" s="890"/>
      <c r="N16" s="890"/>
      <c r="O16" s="890"/>
      <c r="P16" s="890"/>
      <c r="Q16" s="890"/>
      <c r="R16" s="890"/>
      <c r="S16" s="122"/>
      <c r="T16" s="122"/>
      <c r="U16" s="122"/>
    </row>
    <row r="17" spans="2:26" ht="16.5" thickBot="1" x14ac:dyDescent="0.3">
      <c r="C17" s="1646" t="s">
        <v>1279</v>
      </c>
      <c r="D17" s="1649">
        <f>MIN(D14:K14)</f>
        <v>0.20296450423353443</v>
      </c>
      <c r="E17" s="890"/>
      <c r="F17" s="890"/>
      <c r="G17" s="890"/>
      <c r="H17" s="890"/>
      <c r="I17" s="891">
        <f>+L11</f>
        <v>2016</v>
      </c>
      <c r="J17" s="891">
        <f t="shared" ref="J17:R17" si="3">I17+1</f>
        <v>2017</v>
      </c>
      <c r="K17" s="891">
        <f t="shared" si="3"/>
        <v>2018</v>
      </c>
      <c r="L17" s="891">
        <f t="shared" si="3"/>
        <v>2019</v>
      </c>
      <c r="M17" s="891">
        <f t="shared" si="3"/>
        <v>2020</v>
      </c>
      <c r="N17" s="891">
        <f t="shared" si="3"/>
        <v>2021</v>
      </c>
      <c r="O17" s="891">
        <f t="shared" si="3"/>
        <v>2022</v>
      </c>
      <c r="P17" s="891">
        <f t="shared" si="3"/>
        <v>2023</v>
      </c>
      <c r="Q17" s="891">
        <f t="shared" si="3"/>
        <v>2024</v>
      </c>
      <c r="R17" s="891">
        <f t="shared" si="3"/>
        <v>2025</v>
      </c>
      <c r="S17" s="892" t="s">
        <v>267</v>
      </c>
      <c r="T17" s="122"/>
      <c r="U17" s="122"/>
    </row>
    <row r="18" spans="2:26" ht="15.75" x14ac:dyDescent="0.25">
      <c r="C18" s="1647" t="s">
        <v>1280</v>
      </c>
      <c r="D18" s="1650">
        <f>MAX(D14:K14)</f>
        <v>1.0900919270376777</v>
      </c>
      <c r="E18" s="890"/>
      <c r="F18" s="890"/>
      <c r="G18" s="890"/>
      <c r="H18" s="893" t="s">
        <v>1269</v>
      </c>
      <c r="I18" s="894">
        <f>+D19</f>
        <v>0.64955425858689231</v>
      </c>
      <c r="J18" s="895">
        <f>I18</f>
        <v>0.64955425858689231</v>
      </c>
      <c r="K18" s="895">
        <f>J18</f>
        <v>0.64955425858689231</v>
      </c>
      <c r="L18" s="895">
        <f>K18</f>
        <v>0.64955425858689231</v>
      </c>
      <c r="M18" s="895">
        <f>L18</f>
        <v>0.64955425858689231</v>
      </c>
      <c r="N18" s="895">
        <f>M18-($M$18-$R$18)/5</f>
        <v>0.65142885278492058</v>
      </c>
      <c r="O18" s="895">
        <f t="shared" ref="O18:Q18" si="4">N18-($M$18-$R$18)/5</f>
        <v>0.65330344698294884</v>
      </c>
      <c r="P18" s="895">
        <f t="shared" si="4"/>
        <v>0.65517804118097711</v>
      </c>
      <c r="Q18" s="895">
        <f t="shared" si="4"/>
        <v>0.65705263537900538</v>
      </c>
      <c r="R18" s="895">
        <f>+D21</f>
        <v>0.65892722957703354</v>
      </c>
      <c r="S18" s="1531"/>
      <c r="T18" s="122"/>
      <c r="U18" s="122"/>
    </row>
    <row r="19" spans="2:26" ht="16.5" thickBot="1" x14ac:dyDescent="0.3">
      <c r="C19" s="1647" t="s">
        <v>1281</v>
      </c>
      <c r="D19" s="1650">
        <f>AVERAGE(D14:K14)</f>
        <v>0.64955425858689231</v>
      </c>
      <c r="E19" s="890"/>
      <c r="F19" s="890"/>
      <c r="G19" s="890"/>
      <c r="H19" s="897" t="s">
        <v>1271</v>
      </c>
      <c r="I19" s="898">
        <f t="shared" ref="I19:R19" si="5">I18*K12</f>
        <v>578.84443155138172</v>
      </c>
      <c r="J19" s="899">
        <f t="shared" ca="1" si="5"/>
        <v>547.64773205968231</v>
      </c>
      <c r="K19" s="899">
        <f t="shared" ca="1" si="5"/>
        <v>596.61054697557279</v>
      </c>
      <c r="L19" s="899">
        <f t="shared" ca="1" si="5"/>
        <v>648.91437172071096</v>
      </c>
      <c r="M19" s="899">
        <f t="shared" ca="1" si="5"/>
        <v>706.82648106582531</v>
      </c>
      <c r="N19" s="899">
        <f t="shared" ca="1" si="5"/>
        <v>772.57667362932159</v>
      </c>
      <c r="O19" s="899">
        <f t="shared" ca="1" si="5"/>
        <v>829.18125419579792</v>
      </c>
      <c r="P19" s="899">
        <f t="shared" ca="1" si="5"/>
        <v>878.49433924648304</v>
      </c>
      <c r="Q19" s="899">
        <f t="shared" ca="1" si="5"/>
        <v>930.21911124073858</v>
      </c>
      <c r="R19" s="899">
        <f t="shared" ca="1" si="5"/>
        <v>983.2719474530262</v>
      </c>
      <c r="S19" s="900"/>
      <c r="T19" s="122"/>
      <c r="U19" s="122"/>
    </row>
    <row r="20" spans="2:26" ht="15.75" x14ac:dyDescent="0.25">
      <c r="C20" s="1647" t="s">
        <v>1282</v>
      </c>
      <c r="D20" s="1650">
        <f>MEDIAN(D14:K14)</f>
        <v>0.5815497925877543</v>
      </c>
      <c r="E20" s="890"/>
      <c r="F20" s="890"/>
      <c r="G20" s="890"/>
      <c r="H20" s="890"/>
      <c r="I20" s="890"/>
      <c r="J20" s="890"/>
      <c r="K20" s="890"/>
      <c r="L20" s="890"/>
      <c r="M20" s="890"/>
      <c r="N20" s="890"/>
      <c r="O20" s="890"/>
      <c r="P20" s="890"/>
      <c r="Q20" s="890"/>
      <c r="R20" s="890"/>
      <c r="S20" s="122"/>
      <c r="T20" s="122"/>
      <c r="U20" s="122"/>
    </row>
    <row r="21" spans="2:26" ht="15.75" x14ac:dyDescent="0.25">
      <c r="C21" s="1648" t="s">
        <v>1288</v>
      </c>
      <c r="D21" s="1651">
        <f>SUMPRODUCT(D14:K14,D10:K10)/SUM(D10:K10)</f>
        <v>0.65892722957703354</v>
      </c>
      <c r="E21" s="949"/>
      <c r="F21" s="942"/>
      <c r="G21" s="942"/>
      <c r="H21" s="942"/>
      <c r="I21" s="942"/>
      <c r="J21" s="942"/>
      <c r="K21" s="942"/>
      <c r="L21" s="942"/>
      <c r="M21" s="942"/>
      <c r="N21" s="942"/>
      <c r="O21" s="1036"/>
      <c r="P21" s="730"/>
      <c r="Q21" s="730"/>
      <c r="R21" s="730"/>
      <c r="S21" s="730"/>
      <c r="T21" s="122"/>
      <c r="U21" s="122"/>
    </row>
    <row r="23" spans="2:26" ht="18.75" customHeight="1" x14ac:dyDescent="0.25">
      <c r="B23" s="1667"/>
      <c r="C23" s="1664" t="s">
        <v>1273</v>
      </c>
      <c r="D23" s="1665"/>
      <c r="E23" s="1665"/>
      <c r="F23" s="1665"/>
      <c r="G23" s="1665"/>
      <c r="H23" s="1665"/>
      <c r="I23" s="1665"/>
      <c r="J23" s="1665"/>
      <c r="K23" s="1665"/>
      <c r="L23" s="1665"/>
      <c r="M23" s="1665"/>
      <c r="N23" s="1665"/>
      <c r="O23" s="1665"/>
      <c r="P23" s="1665"/>
      <c r="Q23" s="1665"/>
      <c r="R23" s="1665"/>
      <c r="S23" s="1665"/>
      <c r="T23" s="1665"/>
      <c r="U23" s="1666"/>
    </row>
    <row r="25" spans="2:26" ht="16.5" thickBot="1" x14ac:dyDescent="0.3">
      <c r="I25" s="891">
        <f>+I17</f>
        <v>2016</v>
      </c>
      <c r="J25" s="891">
        <f t="shared" ref="J25" si="6">I25+1</f>
        <v>2017</v>
      </c>
      <c r="K25" s="891">
        <f t="shared" ref="K25" si="7">J25+1</f>
        <v>2018</v>
      </c>
      <c r="L25" s="891">
        <f t="shared" ref="L25" si="8">K25+1</f>
        <v>2019</v>
      </c>
      <c r="M25" s="891">
        <f t="shared" ref="M25" si="9">L25+1</f>
        <v>2020</v>
      </c>
      <c r="N25" s="891">
        <f t="shared" ref="N25" si="10">M25+1</f>
        <v>2021</v>
      </c>
      <c r="O25" s="891">
        <f t="shared" ref="O25" si="11">N25+1</f>
        <v>2022</v>
      </c>
      <c r="P25" s="891">
        <f t="shared" ref="P25" si="12">O25+1</f>
        <v>2023</v>
      </c>
      <c r="Q25" s="891">
        <f t="shared" ref="Q25" si="13">P25+1</f>
        <v>2024</v>
      </c>
      <c r="R25" s="891">
        <f t="shared" ref="R25" si="14">Q25+1</f>
        <v>2025</v>
      </c>
      <c r="S25" s="892" t="s">
        <v>267</v>
      </c>
    </row>
    <row r="26" spans="2:26" ht="15.75" x14ac:dyDescent="0.25">
      <c r="H26" s="893" t="s">
        <v>1269</v>
      </c>
      <c r="I26" s="1658">
        <f>+I18</f>
        <v>0.64955425858689231</v>
      </c>
      <c r="J26" s="1659">
        <f t="shared" ref="J26:R26" si="15">+J18</f>
        <v>0.64955425858689231</v>
      </c>
      <c r="K26" s="1659">
        <f t="shared" si="15"/>
        <v>0.64955425858689231</v>
      </c>
      <c r="L26" s="1659">
        <f t="shared" si="15"/>
        <v>0.64955425858689231</v>
      </c>
      <c r="M26" s="1659">
        <f t="shared" si="15"/>
        <v>0.64955425858689231</v>
      </c>
      <c r="N26" s="1659">
        <f t="shared" si="15"/>
        <v>0.65142885278492058</v>
      </c>
      <c r="O26" s="1659">
        <f t="shared" si="15"/>
        <v>0.65330344698294884</v>
      </c>
      <c r="P26" s="1659">
        <f t="shared" si="15"/>
        <v>0.65517804118097711</v>
      </c>
      <c r="Q26" s="1659">
        <f t="shared" si="15"/>
        <v>0.65705263537900538</v>
      </c>
      <c r="R26" s="1659">
        <f t="shared" si="15"/>
        <v>0.65892722957703354</v>
      </c>
      <c r="S26" s="1660"/>
    </row>
    <row r="27" spans="2:26" ht="16.5" thickBot="1" x14ac:dyDescent="0.3">
      <c r="H27" s="897" t="s">
        <v>1271</v>
      </c>
      <c r="I27" s="1663">
        <f>+I26*PGT!E28</f>
        <v>1.2029744869029246</v>
      </c>
      <c r="J27" s="1662">
        <f ca="1">+J26*PGT!G28</f>
        <v>1.1381404287026768</v>
      </c>
      <c r="K27" s="1662">
        <f ca="1">+K26*PGT!H28</f>
        <v>1.2398966414952979</v>
      </c>
      <c r="L27" s="1662">
        <f ca="1">+L26*PGT!I28</f>
        <v>1.3485962562902585</v>
      </c>
      <c r="M27" s="1662">
        <f ca="1">+M26*PGT!J28</f>
        <v>1.468951201811957</v>
      </c>
      <c r="N27" s="1662">
        <f ca="1">+N26*PGT!K28</f>
        <v>1.6055955225508696</v>
      </c>
      <c r="O27" s="1662">
        <f ca="1">+O26*PGT!L28</f>
        <v>1.72323311661187</v>
      </c>
      <c r="P27" s="1662">
        <f ca="1">+P26*PGT!M28</f>
        <v>1.8257172728945108</v>
      </c>
      <c r="Q27" s="1662">
        <f ca="1">+Q26*PGT!N28</f>
        <v>1.9332134802661407</v>
      </c>
      <c r="R27" s="1662">
        <f ca="1">+R26*PGT!O28</f>
        <v>2.0434697165577673</v>
      </c>
      <c r="S27" s="1661"/>
    </row>
    <row r="29" spans="2:26" x14ac:dyDescent="0.25">
      <c r="Z29" s="1170" t="s">
        <v>1810</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4.9989318521683403E-2"/>
  </sheetPr>
  <dimension ref="B2:R114"/>
  <sheetViews>
    <sheetView zoomScale="74" zoomScaleNormal="74" workbookViewId="0">
      <selection activeCell="P4" sqref="P4"/>
    </sheetView>
  </sheetViews>
  <sheetFormatPr defaultColWidth="8.85546875" defaultRowHeight="15" x14ac:dyDescent="0.25"/>
  <cols>
    <col min="1" max="1" width="8.85546875" style="4"/>
    <col min="2" max="2" width="33.7109375" style="4" customWidth="1"/>
    <col min="3" max="10" width="8.85546875" style="4"/>
    <col min="11" max="11" width="3" style="4" customWidth="1"/>
    <col min="12" max="16384" width="8.85546875" style="4"/>
  </cols>
  <sheetData>
    <row r="2" spans="2:18" ht="19.899999999999999" customHeight="1" x14ac:dyDescent="0.45">
      <c r="B2" s="2113" t="s">
        <v>940</v>
      </c>
      <c r="C2" s="2115" t="s">
        <v>942</v>
      </c>
      <c r="D2" s="2115"/>
      <c r="E2" s="2115"/>
      <c r="F2" s="2115"/>
      <c r="G2" s="2115"/>
      <c r="H2" s="2115"/>
      <c r="I2" s="2115"/>
      <c r="J2" s="2116"/>
      <c r="K2" s="1"/>
      <c r="L2" s="2059" t="s">
        <v>942</v>
      </c>
      <c r="M2" s="2059"/>
      <c r="N2" s="2059"/>
      <c r="O2" s="2059"/>
      <c r="P2" s="2059"/>
      <c r="Q2" s="2059"/>
      <c r="R2" s="2059"/>
    </row>
    <row r="3" spans="2:18" ht="15" customHeight="1" x14ac:dyDescent="0.25">
      <c r="B3" s="2114"/>
      <c r="C3" s="1855" t="str">
        <f>UFRS!C3</f>
        <v>2008/12</v>
      </c>
      <c r="D3" s="1855" t="str">
        <f>UFRS!D3</f>
        <v>2009/12</v>
      </c>
      <c r="E3" s="1855" t="str">
        <f>UFRS!E3</f>
        <v>2010/12</v>
      </c>
      <c r="F3" s="1855" t="str">
        <f>UFRS!F3</f>
        <v>2011/12</v>
      </c>
      <c r="G3" s="1855" t="str">
        <f>UFRS!G3</f>
        <v>2012/12</v>
      </c>
      <c r="H3" s="1855" t="str">
        <f>UFRS!H3</f>
        <v>2013/12</v>
      </c>
      <c r="I3" s="1855" t="str">
        <f>UFRS!I3</f>
        <v>2014/12</v>
      </c>
      <c r="J3" s="1871" t="str">
        <f>UFRS!J3</f>
        <v>2015/12</v>
      </c>
      <c r="K3" s="1"/>
      <c r="L3" s="1855" t="str">
        <f>+D3</f>
        <v>2009/12</v>
      </c>
      <c r="M3" s="1855" t="str">
        <f t="shared" ref="M3:R3" si="0">+E3</f>
        <v>2010/12</v>
      </c>
      <c r="N3" s="1855" t="str">
        <f t="shared" si="0"/>
        <v>2011/12</v>
      </c>
      <c r="O3" s="1855" t="str">
        <f t="shared" si="0"/>
        <v>2012/12</v>
      </c>
      <c r="P3" s="1855" t="str">
        <f t="shared" si="0"/>
        <v>2013/12</v>
      </c>
      <c r="Q3" s="1855" t="str">
        <f t="shared" si="0"/>
        <v>2014/12</v>
      </c>
      <c r="R3" s="1855" t="str">
        <f t="shared" si="0"/>
        <v>2015/12</v>
      </c>
    </row>
    <row r="4" spans="2:18" x14ac:dyDescent="0.25">
      <c r="B4" s="1872" t="s">
        <v>39</v>
      </c>
      <c r="C4" s="1186">
        <f>UFRS!C5/1000000</f>
        <v>4493.6549999999997</v>
      </c>
      <c r="D4" s="1186">
        <f>UFRS!D5/1000000</f>
        <v>4157.9549999999999</v>
      </c>
      <c r="E4" s="1186">
        <f>UFRS!E5/1000000</f>
        <v>4748.4390000000003</v>
      </c>
      <c r="F4" s="1186">
        <f>UFRS!F5/1000000</f>
        <v>6033.8490000000002</v>
      </c>
      <c r="G4" s="1186">
        <f>UFRS!G5/1000000</f>
        <v>6736.6779999999999</v>
      </c>
      <c r="H4" s="1186">
        <f>UFRS!H5/1000000</f>
        <v>7659.1180000000004</v>
      </c>
      <c r="I4" s="1186">
        <f>UFRS!I5/1000000</f>
        <v>8471.7569999999996</v>
      </c>
      <c r="J4" s="1873">
        <f>UFRS!J5/1000000</f>
        <v>9406.2520000000004</v>
      </c>
      <c r="L4" s="1186">
        <f>+SUM(L5:L12)</f>
        <v>335.69999999999982</v>
      </c>
      <c r="M4" s="1186">
        <f t="shared" ref="M4:R4" si="1">+SUM(M5:M12)</f>
        <v>-590.48400000000026</v>
      </c>
      <c r="N4" s="1186">
        <f t="shared" si="1"/>
        <v>-1285.4099999999994</v>
      </c>
      <c r="O4" s="1186">
        <f t="shared" si="1"/>
        <v>-702.82900000000086</v>
      </c>
      <c r="P4" s="1186">
        <f t="shared" si="1"/>
        <v>-922.44000000000051</v>
      </c>
      <c r="Q4" s="1186">
        <f t="shared" si="1"/>
        <v>-812.63899999999808</v>
      </c>
      <c r="R4" s="1186">
        <f t="shared" si="1"/>
        <v>-934.49500000000171</v>
      </c>
    </row>
    <row r="5" spans="2:18" x14ac:dyDescent="0.25">
      <c r="B5" s="1874" t="s">
        <v>1001</v>
      </c>
      <c r="C5" s="1875">
        <f>SUM(UFRS!C6)/1000000</f>
        <v>415.58600000000001</v>
      </c>
      <c r="D5" s="1875">
        <f>SUM(UFRS!D6)/1000000</f>
        <v>904.73400000000004</v>
      </c>
      <c r="E5" s="1875">
        <f>SUM(UFRS!E6)/1000000</f>
        <v>1317.1659999999999</v>
      </c>
      <c r="F5" s="1875">
        <f>SUM(UFRS!F6)/1000000</f>
        <v>1173.8889999999999</v>
      </c>
      <c r="G5" s="1875">
        <f>SUM(UFRS!G6)/1000000</f>
        <v>1740.789</v>
      </c>
      <c r="H5" s="1875">
        <f>SUM(UFRS!H6)/1000000</f>
        <v>1266.575</v>
      </c>
      <c r="I5" s="1875">
        <f>SUM(UFRS!I6)/1000000</f>
        <v>1621.221</v>
      </c>
      <c r="J5" s="1876">
        <f>SUM(UFRS!J6)/1000000</f>
        <v>2167.627</v>
      </c>
      <c r="K5" s="105"/>
      <c r="L5" s="1846">
        <f>+C5-D5</f>
        <v>-489.14800000000002</v>
      </c>
      <c r="M5" s="1847">
        <f t="shared" ref="M5:R20" si="2">+D5-E5</f>
        <v>-412.4319999999999</v>
      </c>
      <c r="N5" s="1847">
        <f t="shared" si="2"/>
        <v>143.27700000000004</v>
      </c>
      <c r="O5" s="1847">
        <f t="shared" si="2"/>
        <v>-566.90000000000009</v>
      </c>
      <c r="P5" s="1847">
        <f t="shared" si="2"/>
        <v>474.21399999999994</v>
      </c>
      <c r="Q5" s="1847">
        <f t="shared" si="2"/>
        <v>-354.64599999999996</v>
      </c>
      <c r="R5" s="1848">
        <f t="shared" si="2"/>
        <v>-546.40599999999995</v>
      </c>
    </row>
    <row r="6" spans="2:18" x14ac:dyDescent="0.25">
      <c r="B6" s="1874" t="s">
        <v>41</v>
      </c>
      <c r="C6" s="1875">
        <f>+SUM(UFRS!C7:C10)/1000000</f>
        <v>26.039000000000001</v>
      </c>
      <c r="D6" s="1875">
        <f>+SUM(UFRS!D7:D10)/1000000</f>
        <v>4.444</v>
      </c>
      <c r="E6" s="1875">
        <f>+SUM(UFRS!E7:E10)/1000000</f>
        <v>1.1850000000000001</v>
      </c>
      <c r="F6" s="1875">
        <f>+SUM(UFRS!F7:F10)/1000000</f>
        <v>2.9319999999999999</v>
      </c>
      <c r="G6" s="1875">
        <f>+SUM(UFRS!G7:G10)/1000000</f>
        <v>0</v>
      </c>
      <c r="H6" s="1875">
        <f>+SUM(UFRS!H7:H10)/1000000</f>
        <v>0</v>
      </c>
      <c r="I6" s="1875">
        <f>+SUM(UFRS!I7:I10)/1000000</f>
        <v>0</v>
      </c>
      <c r="J6" s="1876">
        <f>+SUM(UFRS!J7:J10)/1000000</f>
        <v>0</v>
      </c>
      <c r="K6" s="105"/>
      <c r="L6" s="1849">
        <f t="shared" ref="L6:R49" si="3">+C6-D6</f>
        <v>21.595000000000002</v>
      </c>
      <c r="M6" s="1850">
        <f t="shared" si="2"/>
        <v>3.2589999999999999</v>
      </c>
      <c r="N6" s="1850">
        <f t="shared" si="2"/>
        <v>-1.7469999999999999</v>
      </c>
      <c r="O6" s="1850">
        <f t="shared" si="2"/>
        <v>2.9319999999999999</v>
      </c>
      <c r="P6" s="1850">
        <f t="shared" si="2"/>
        <v>0</v>
      </c>
      <c r="Q6" s="1850">
        <f t="shared" si="2"/>
        <v>0</v>
      </c>
      <c r="R6" s="1851">
        <f t="shared" si="2"/>
        <v>0</v>
      </c>
    </row>
    <row r="7" spans="2:18" x14ac:dyDescent="0.25">
      <c r="B7" s="1877" t="s">
        <v>44</v>
      </c>
      <c r="C7" s="71">
        <f>SUM(UFRS!C11:C15)/1000000</f>
        <v>2644.9270000000001</v>
      </c>
      <c r="D7" s="71">
        <f>SUM(UFRS!D11:D15)/1000000</f>
        <v>2233.011</v>
      </c>
      <c r="E7" s="71">
        <f>SUM(UFRS!E11:E15)/1000000</f>
        <v>2324.578</v>
      </c>
      <c r="F7" s="71">
        <f>SUM(UFRS!F11:F15)/1000000</f>
        <v>3180.87</v>
      </c>
      <c r="G7" s="71">
        <f>SUM(UFRS!G11:G15)/1000000</f>
        <v>3261.4769999999999</v>
      </c>
      <c r="H7" s="71">
        <f>SUM(UFRS!H11:H15)/1000000</f>
        <v>4182.1400000000003</v>
      </c>
      <c r="I7" s="71">
        <f>SUM(UFRS!I11:I15)/1000000</f>
        <v>4433.8980000000001</v>
      </c>
      <c r="J7" s="1505">
        <f>SUM(UFRS!J11:J15)/1000000</f>
        <v>4790.5249999999996</v>
      </c>
      <c r="L7" s="1218">
        <f t="shared" si="3"/>
        <v>411.91600000000017</v>
      </c>
      <c r="M7" s="862">
        <f t="shared" si="2"/>
        <v>-91.567000000000007</v>
      </c>
      <c r="N7" s="862">
        <f t="shared" si="2"/>
        <v>-856.29199999999992</v>
      </c>
      <c r="O7" s="862">
        <f t="shared" si="2"/>
        <v>-80.606999999999971</v>
      </c>
      <c r="P7" s="862">
        <f t="shared" si="2"/>
        <v>-920.66300000000047</v>
      </c>
      <c r="Q7" s="862">
        <f t="shared" si="2"/>
        <v>-251.75799999999981</v>
      </c>
      <c r="R7" s="1219">
        <f t="shared" si="2"/>
        <v>-356.6269999999995</v>
      </c>
    </row>
    <row r="8" spans="2:18" x14ac:dyDescent="0.25">
      <c r="B8" s="1877" t="s">
        <v>93</v>
      </c>
      <c r="C8" s="71">
        <f>+UFRS!C16/1000000</f>
        <v>0</v>
      </c>
      <c r="D8" s="71">
        <f>+UFRS!D16/1000000</f>
        <v>0</v>
      </c>
      <c r="E8" s="71">
        <f>+UFRS!E16/1000000</f>
        <v>0</v>
      </c>
      <c r="F8" s="71">
        <f>+UFRS!F16/1000000</f>
        <v>0</v>
      </c>
      <c r="G8" s="71">
        <f>+UFRS!G16/1000000</f>
        <v>0</v>
      </c>
      <c r="H8" s="71">
        <f>+UFRS!H16/1000000</f>
        <v>0</v>
      </c>
      <c r="I8" s="71">
        <f>+UFRS!I16/1000000</f>
        <v>0</v>
      </c>
      <c r="J8" s="1505">
        <f>+UFRS!J16/1000000</f>
        <v>0</v>
      </c>
      <c r="L8" s="1218">
        <f t="shared" si="3"/>
        <v>0</v>
      </c>
      <c r="M8" s="862">
        <f t="shared" si="2"/>
        <v>0</v>
      </c>
      <c r="N8" s="862">
        <f t="shared" si="2"/>
        <v>0</v>
      </c>
      <c r="O8" s="862">
        <f t="shared" si="2"/>
        <v>0</v>
      </c>
      <c r="P8" s="862">
        <f t="shared" si="2"/>
        <v>0</v>
      </c>
      <c r="Q8" s="862">
        <f t="shared" si="2"/>
        <v>0</v>
      </c>
      <c r="R8" s="1219">
        <f t="shared" si="2"/>
        <v>0</v>
      </c>
    </row>
    <row r="9" spans="2:18" x14ac:dyDescent="0.25">
      <c r="B9" s="1877" t="s">
        <v>4</v>
      </c>
      <c r="C9" s="71">
        <f>SUM(UFRS!C17,UFRS!C19)/1000000</f>
        <v>1303.931</v>
      </c>
      <c r="D9" s="71">
        <f>SUM(UFRS!D17,UFRS!D19)/1000000</f>
        <v>906.78599999999994</v>
      </c>
      <c r="E9" s="71">
        <f>SUM(UFRS!E17,UFRS!E19)/1000000</f>
        <v>987.52599999999995</v>
      </c>
      <c r="F9" s="71">
        <f>SUM(UFRS!F17,UFRS!F19)/1000000</f>
        <v>1530.1410000000001</v>
      </c>
      <c r="G9" s="71">
        <f>SUM(UFRS!G17,UFRS!G19)/1000000</f>
        <v>1599.6579999999999</v>
      </c>
      <c r="H9" s="71">
        <f>SUM(UFRS!H17,UFRS!H19)/1000000</f>
        <v>1988.373</v>
      </c>
      <c r="I9" s="71">
        <f>SUM(UFRS!I17,UFRS!I19)/1000000</f>
        <v>2124.9459999999999</v>
      </c>
      <c r="J9" s="1505">
        <f>SUM(UFRS!J17,UFRS!J19)/1000000</f>
        <v>2140.0569999999998</v>
      </c>
      <c r="L9" s="1218">
        <f t="shared" si="3"/>
        <v>397.1450000000001</v>
      </c>
      <c r="M9" s="862">
        <f t="shared" si="2"/>
        <v>-80.740000000000009</v>
      </c>
      <c r="N9" s="862">
        <f t="shared" si="2"/>
        <v>-542.61500000000012</v>
      </c>
      <c r="O9" s="862">
        <f t="shared" si="2"/>
        <v>-69.516999999999825</v>
      </c>
      <c r="P9" s="862">
        <f t="shared" si="2"/>
        <v>-388.71500000000015</v>
      </c>
      <c r="Q9" s="862">
        <f t="shared" si="2"/>
        <v>-136.57299999999987</v>
      </c>
      <c r="R9" s="1219">
        <f t="shared" si="2"/>
        <v>-15.110999999999876</v>
      </c>
    </row>
    <row r="10" spans="2:18" x14ac:dyDescent="0.25">
      <c r="B10" s="1877" t="s">
        <v>871</v>
      </c>
      <c r="C10" s="71">
        <f>+UFRS!C20/1000000</f>
        <v>0</v>
      </c>
      <c r="D10" s="71">
        <f>+UFRS!D20/1000000</f>
        <v>0</v>
      </c>
      <c r="E10" s="71">
        <f>+UFRS!E20/1000000</f>
        <v>0</v>
      </c>
      <c r="F10" s="71">
        <f>+UFRS!F20/1000000</f>
        <v>0</v>
      </c>
      <c r="G10" s="71">
        <f>+UFRS!G20/1000000</f>
        <v>0</v>
      </c>
      <c r="H10" s="71">
        <f>+UFRS!H20/1000000</f>
        <v>0</v>
      </c>
      <c r="I10" s="71">
        <f>+UFRS!I20/1000000</f>
        <v>0</v>
      </c>
      <c r="J10" s="1505">
        <f>+UFRS!J20/1000000</f>
        <v>0</v>
      </c>
      <c r="L10" s="1218">
        <f t="shared" si="3"/>
        <v>0</v>
      </c>
      <c r="M10" s="862">
        <f t="shared" si="2"/>
        <v>0</v>
      </c>
      <c r="N10" s="862">
        <f t="shared" si="2"/>
        <v>0</v>
      </c>
      <c r="O10" s="862">
        <f t="shared" si="2"/>
        <v>0</v>
      </c>
      <c r="P10" s="862">
        <f t="shared" si="2"/>
        <v>0</v>
      </c>
      <c r="Q10" s="862">
        <f t="shared" si="2"/>
        <v>0</v>
      </c>
      <c r="R10" s="1219">
        <f t="shared" si="2"/>
        <v>0</v>
      </c>
    </row>
    <row r="11" spans="2:18" x14ac:dyDescent="0.25">
      <c r="B11" s="1877" t="s">
        <v>780</v>
      </c>
      <c r="C11" s="71">
        <f>+UFRS!C23/1000000</f>
        <v>0</v>
      </c>
      <c r="D11" s="71">
        <f>+UFRS!D23/1000000</f>
        <v>0</v>
      </c>
      <c r="E11" s="71">
        <f>+UFRS!E23/1000000</f>
        <v>0</v>
      </c>
      <c r="F11" s="71">
        <f>+UFRS!F23/1000000</f>
        <v>0</v>
      </c>
      <c r="G11" s="71">
        <f>+UFRS!G23/1000000</f>
        <v>0</v>
      </c>
      <c r="H11" s="71">
        <f>+UFRS!H23/1000000</f>
        <v>0</v>
      </c>
      <c r="I11" s="71">
        <f>+UFRS!I23/1000000</f>
        <v>0</v>
      </c>
      <c r="J11" s="1505">
        <f>+UFRS!J23/1000000</f>
        <v>0</v>
      </c>
      <c r="K11" s="98"/>
      <c r="L11" s="1211">
        <f t="shared" si="3"/>
        <v>0</v>
      </c>
      <c r="M11" s="71">
        <f t="shared" si="2"/>
        <v>0</v>
      </c>
      <c r="N11" s="71">
        <f t="shared" si="2"/>
        <v>0</v>
      </c>
      <c r="O11" s="71">
        <f t="shared" si="2"/>
        <v>0</v>
      </c>
      <c r="P11" s="71">
        <f t="shared" si="2"/>
        <v>0</v>
      </c>
      <c r="Q11" s="71">
        <f t="shared" si="2"/>
        <v>0</v>
      </c>
      <c r="R11" s="1212">
        <f t="shared" si="2"/>
        <v>0</v>
      </c>
    </row>
    <row r="12" spans="2:18" x14ac:dyDescent="0.25">
      <c r="B12" s="1877" t="s">
        <v>94</v>
      </c>
      <c r="C12" s="71">
        <f t="shared" ref="C12:I12" si="4">C4-SUM(C5:C11)</f>
        <v>103.17199999999957</v>
      </c>
      <c r="D12" s="71">
        <f t="shared" si="4"/>
        <v>108.98000000000002</v>
      </c>
      <c r="E12" s="71">
        <f t="shared" si="4"/>
        <v>117.98400000000038</v>
      </c>
      <c r="F12" s="71">
        <f t="shared" si="4"/>
        <v>146.01699999999983</v>
      </c>
      <c r="G12" s="71">
        <f t="shared" si="4"/>
        <v>134.75400000000081</v>
      </c>
      <c r="H12" s="71">
        <f t="shared" si="4"/>
        <v>222.03000000000065</v>
      </c>
      <c r="I12" s="71">
        <f t="shared" si="4"/>
        <v>291.6919999999991</v>
      </c>
      <c r="J12" s="1505">
        <f>J4-SUM(J5:J11)</f>
        <v>308.04300000000148</v>
      </c>
      <c r="L12" s="1218">
        <f t="shared" si="3"/>
        <v>-5.8080000000004475</v>
      </c>
      <c r="M12" s="862">
        <f t="shared" si="2"/>
        <v>-9.0040000000003602</v>
      </c>
      <c r="N12" s="862">
        <f t="shared" si="2"/>
        <v>-28.032999999999447</v>
      </c>
      <c r="O12" s="862">
        <f t="shared" si="2"/>
        <v>11.26299999999901</v>
      </c>
      <c r="P12" s="862">
        <f t="shared" si="2"/>
        <v>-87.27599999999984</v>
      </c>
      <c r="Q12" s="862">
        <f t="shared" si="2"/>
        <v>-69.661999999998443</v>
      </c>
      <c r="R12" s="1219">
        <f t="shared" si="2"/>
        <v>-16.351000000002387</v>
      </c>
    </row>
    <row r="13" spans="2:18" x14ac:dyDescent="0.25">
      <c r="B13" s="1872" t="s">
        <v>55</v>
      </c>
      <c r="C13" s="1186">
        <f>UFRS!C32/1000000</f>
        <v>2435.5740000000001</v>
      </c>
      <c r="D13" s="1186">
        <f>UFRS!D32/1000000</f>
        <v>2268.703</v>
      </c>
      <c r="E13" s="1186">
        <f>UFRS!E32/1000000</f>
        <v>2573.3200000000002</v>
      </c>
      <c r="F13" s="1186">
        <f>UFRS!F32/1000000</f>
        <v>3163.904</v>
      </c>
      <c r="G13" s="1186">
        <f>UFRS!G32/1000000</f>
        <v>3491.4749999999999</v>
      </c>
      <c r="H13" s="1186">
        <f>UFRS!H32/1000000</f>
        <v>3751.7979999999998</v>
      </c>
      <c r="I13" s="1186">
        <f>UFRS!I32/1000000</f>
        <v>3923.248</v>
      </c>
      <c r="J13" s="1873">
        <f>UFRS!J32/1000000</f>
        <v>4332.2560000000003</v>
      </c>
      <c r="K13" s="103"/>
      <c r="L13" s="1186">
        <f t="shared" si="3"/>
        <v>166.87100000000009</v>
      </c>
      <c r="M13" s="1186">
        <f t="shared" si="2"/>
        <v>-304.61700000000019</v>
      </c>
      <c r="N13" s="1186">
        <f t="shared" si="2"/>
        <v>-590.58399999999983</v>
      </c>
      <c r="O13" s="1186">
        <f t="shared" si="2"/>
        <v>-327.57099999999991</v>
      </c>
      <c r="P13" s="1186">
        <f t="shared" si="2"/>
        <v>-260.32299999999987</v>
      </c>
      <c r="Q13" s="1186">
        <f t="shared" si="2"/>
        <v>-171.45000000000027</v>
      </c>
      <c r="R13" s="1186">
        <f t="shared" si="2"/>
        <v>-409.00800000000027</v>
      </c>
    </row>
    <row r="14" spans="2:18" x14ac:dyDescent="0.25">
      <c r="B14" s="1877" t="s">
        <v>6</v>
      </c>
      <c r="C14" s="71">
        <f>+UFRS!C36/1000000</f>
        <v>9.06</v>
      </c>
      <c r="D14" s="71">
        <f>+UFRS!D36/1000000</f>
        <v>4.2539999999999996</v>
      </c>
      <c r="E14" s="71">
        <f>+UFRS!E36/1000000</f>
        <v>12.461</v>
      </c>
      <c r="F14" s="71">
        <f>+UFRS!F36/1000000</f>
        <v>16.018000000000001</v>
      </c>
      <c r="G14" s="71">
        <f>+UFRS!G36/1000000</f>
        <v>10.968999999999999</v>
      </c>
      <c r="H14" s="71">
        <f>+UFRS!H36/1000000</f>
        <v>27.456</v>
      </c>
      <c r="I14" s="71">
        <f>+UFRS!I36/1000000</f>
        <v>24.422999999999998</v>
      </c>
      <c r="J14" s="1505">
        <f>+UFRS!J36/1000000</f>
        <v>13.205</v>
      </c>
      <c r="K14" s="103"/>
      <c r="L14" s="1218">
        <f t="shared" si="3"/>
        <v>4.8060000000000009</v>
      </c>
      <c r="M14" s="862">
        <f t="shared" si="2"/>
        <v>-8.2070000000000007</v>
      </c>
      <c r="N14" s="862">
        <f t="shared" si="2"/>
        <v>-3.5570000000000004</v>
      </c>
      <c r="O14" s="862">
        <f t="shared" si="2"/>
        <v>5.0490000000000013</v>
      </c>
      <c r="P14" s="862">
        <f t="shared" si="2"/>
        <v>-16.487000000000002</v>
      </c>
      <c r="Q14" s="862">
        <f t="shared" si="2"/>
        <v>3.0330000000000013</v>
      </c>
      <c r="R14" s="1219">
        <f t="shared" si="2"/>
        <v>11.217999999999998</v>
      </c>
    </row>
    <row r="15" spans="2:18" x14ac:dyDescent="0.25">
      <c r="B15" s="1877" t="s">
        <v>95</v>
      </c>
      <c r="C15" s="71">
        <f>+UFRS!C41/1000000</f>
        <v>0</v>
      </c>
      <c r="D15" s="71">
        <f>+UFRS!D41/1000000</f>
        <v>0</v>
      </c>
      <c r="E15" s="71">
        <f>+UFRS!E41/1000000</f>
        <v>0</v>
      </c>
      <c r="F15" s="71">
        <f>+UFRS!F41/1000000</f>
        <v>0</v>
      </c>
      <c r="G15" s="71">
        <f>+UFRS!G41/1000000</f>
        <v>0</v>
      </c>
      <c r="H15" s="71">
        <f>+UFRS!H41/1000000</f>
        <v>0</v>
      </c>
      <c r="I15" s="71">
        <f>+UFRS!I41/1000000</f>
        <v>0</v>
      </c>
      <c r="J15" s="1505">
        <f>+UFRS!J41/1000000</f>
        <v>0</v>
      </c>
      <c r="K15" s="103"/>
      <c r="L15" s="1218">
        <f t="shared" si="3"/>
        <v>0</v>
      </c>
      <c r="M15" s="862">
        <f t="shared" si="2"/>
        <v>0</v>
      </c>
      <c r="N15" s="862">
        <f t="shared" si="2"/>
        <v>0</v>
      </c>
      <c r="O15" s="862">
        <f t="shared" si="2"/>
        <v>0</v>
      </c>
      <c r="P15" s="862">
        <f t="shared" si="2"/>
        <v>0</v>
      </c>
      <c r="Q15" s="862">
        <f t="shared" si="2"/>
        <v>0</v>
      </c>
      <c r="R15" s="1219">
        <f t="shared" si="2"/>
        <v>0</v>
      </c>
    </row>
    <row r="16" spans="2:18" x14ac:dyDescent="0.25">
      <c r="B16" s="1877" t="s">
        <v>56</v>
      </c>
      <c r="C16" s="1273">
        <f>SUM(UFRS!C42:C43,UFRS!C46,UFRS!C48,UFRS!C49)/1000000</f>
        <v>675.83299999999997</v>
      </c>
      <c r="D16" s="1273">
        <f>SUM(UFRS!D42:D43,UFRS!D46,UFRS!D48,UFRS!D49)/1000000</f>
        <v>531.327</v>
      </c>
      <c r="E16" s="1273">
        <f>SUM(UFRS!E42:E43,UFRS!E46,UFRS!E48,UFRS!E49)/1000000</f>
        <v>800.76300000000003</v>
      </c>
      <c r="F16" s="1273">
        <f>SUM(UFRS!F42:F43,UFRS!F46,UFRS!F48,UFRS!F49)/1000000</f>
        <v>658.39700000000005</v>
      </c>
      <c r="G16" s="1273">
        <f>SUM(UFRS!G42:G43,UFRS!G46,UFRS!G48,UFRS!G49)/1000000</f>
        <v>826.45399999999995</v>
      </c>
      <c r="H16" s="1273">
        <f>SUM(UFRS!H42:H43,UFRS!H46,UFRS!H48,UFRS!H49)/1000000</f>
        <v>737.92</v>
      </c>
      <c r="I16" s="1273">
        <f>SUM(UFRS!I42:I43,UFRS!I46,UFRS!I48,UFRS!I49)/1000000</f>
        <v>899.72799999999995</v>
      </c>
      <c r="J16" s="1878">
        <f>SUM(UFRS!J42:J43,UFRS!J46,UFRS!J48,UFRS!J49)/1000000</f>
        <v>749.05700000000002</v>
      </c>
      <c r="L16" s="1218">
        <f t="shared" si="3"/>
        <v>144.50599999999997</v>
      </c>
      <c r="M16" s="862">
        <f t="shared" si="2"/>
        <v>-269.43600000000004</v>
      </c>
      <c r="N16" s="862">
        <f t="shared" si="2"/>
        <v>142.36599999999999</v>
      </c>
      <c r="O16" s="862">
        <f t="shared" si="2"/>
        <v>-168.0569999999999</v>
      </c>
      <c r="P16" s="862">
        <f t="shared" si="2"/>
        <v>88.533999999999992</v>
      </c>
      <c r="Q16" s="862">
        <f t="shared" si="2"/>
        <v>-161.80799999999999</v>
      </c>
      <c r="R16" s="1219">
        <f t="shared" si="2"/>
        <v>150.67099999999994</v>
      </c>
    </row>
    <row r="17" spans="2:18" x14ac:dyDescent="0.25">
      <c r="B17" s="1877" t="s">
        <v>769</v>
      </c>
      <c r="C17" s="1273">
        <f>UFRS!C47/1000000</f>
        <v>10.255000000000001</v>
      </c>
      <c r="D17" s="1273">
        <f>UFRS!D47/1000000</f>
        <v>7.5110000000000001</v>
      </c>
      <c r="E17" s="1273">
        <f>UFRS!E47/1000000</f>
        <v>7.19</v>
      </c>
      <c r="F17" s="1273">
        <f>UFRS!F47/1000000</f>
        <v>196.167</v>
      </c>
      <c r="G17" s="1273">
        <f>UFRS!G47/1000000</f>
        <v>177.08</v>
      </c>
      <c r="H17" s="1273">
        <f>UFRS!H47/1000000</f>
        <v>0</v>
      </c>
      <c r="I17" s="1273">
        <f>UFRS!I47/1000000</f>
        <v>0</v>
      </c>
      <c r="J17" s="1878">
        <f>UFRS!J47/1000000</f>
        <v>0</v>
      </c>
      <c r="L17" s="1218">
        <f t="shared" si="3"/>
        <v>2.7440000000000007</v>
      </c>
      <c r="M17" s="862">
        <f t="shared" si="2"/>
        <v>0.32099999999999973</v>
      </c>
      <c r="N17" s="862">
        <f t="shared" si="2"/>
        <v>-188.977</v>
      </c>
      <c r="O17" s="862">
        <f t="shared" si="2"/>
        <v>19.086999999999989</v>
      </c>
      <c r="P17" s="862">
        <f t="shared" si="2"/>
        <v>177.08</v>
      </c>
      <c r="Q17" s="862">
        <f t="shared" si="2"/>
        <v>0</v>
      </c>
      <c r="R17" s="1219">
        <f t="shared" si="2"/>
        <v>0</v>
      </c>
    </row>
    <row r="18" spans="2:18" x14ac:dyDescent="0.25">
      <c r="B18" s="1877" t="s">
        <v>59</v>
      </c>
      <c r="C18" s="71">
        <f>(UFRS!C50)/1000000</f>
        <v>1272.3330000000001</v>
      </c>
      <c r="D18" s="71">
        <f>(UFRS!D50)/1000000</f>
        <v>1244.1089999999999</v>
      </c>
      <c r="E18" s="71">
        <f>(UFRS!E50)/1000000</f>
        <v>1252.2449999999999</v>
      </c>
      <c r="F18" s="71">
        <f>(UFRS!F50)/1000000</f>
        <v>1446.8409999999999</v>
      </c>
      <c r="G18" s="71">
        <f>(UFRS!G50)/1000000</f>
        <v>1603.403</v>
      </c>
      <c r="H18" s="71">
        <f>(UFRS!H50)/1000000</f>
        <v>1836.789</v>
      </c>
      <c r="I18" s="71">
        <f>(UFRS!I50)/1000000</f>
        <v>1812.7460000000001</v>
      </c>
      <c r="J18" s="1505">
        <f>(UFRS!J50)/1000000</f>
        <v>2055.6750000000002</v>
      </c>
      <c r="L18" s="1218">
        <f t="shared" si="3"/>
        <v>28.22400000000016</v>
      </c>
      <c r="M18" s="862">
        <f t="shared" si="2"/>
        <v>-8.1359999999999673</v>
      </c>
      <c r="N18" s="862">
        <f t="shared" si="2"/>
        <v>-194.596</v>
      </c>
      <c r="O18" s="862">
        <f t="shared" si="2"/>
        <v>-156.56200000000013</v>
      </c>
      <c r="P18" s="862">
        <f t="shared" si="2"/>
        <v>-233.38599999999997</v>
      </c>
      <c r="Q18" s="862">
        <f t="shared" si="2"/>
        <v>24.042999999999893</v>
      </c>
      <c r="R18" s="1219">
        <f t="shared" si="2"/>
        <v>-242.92900000000009</v>
      </c>
    </row>
    <row r="19" spans="2:18" x14ac:dyDescent="0.25">
      <c r="B19" s="1877" t="s">
        <v>60</v>
      </c>
      <c r="C19" s="71">
        <f>(UFRS!C51)/1000000</f>
        <v>402.21499999999997</v>
      </c>
      <c r="D19" s="71">
        <f>(UFRS!D51)/1000000</f>
        <v>439.99299999999999</v>
      </c>
      <c r="E19" s="71">
        <f>(UFRS!E51)/1000000</f>
        <v>461.41699999999997</v>
      </c>
      <c r="F19" s="71">
        <f>(UFRS!F51)/1000000</f>
        <v>783.09400000000005</v>
      </c>
      <c r="G19" s="71">
        <f>(UFRS!G51)/1000000</f>
        <v>787.601</v>
      </c>
      <c r="H19" s="71">
        <f>(UFRS!H51)/1000000</f>
        <v>1058.9739999999999</v>
      </c>
      <c r="I19" s="71">
        <f>(UFRS!I51)/1000000</f>
        <v>1091.1949999999999</v>
      </c>
      <c r="J19" s="1505">
        <f>(UFRS!J51)/1000000</f>
        <v>1170.93</v>
      </c>
      <c r="L19" s="1218">
        <f t="shared" si="3"/>
        <v>-37.77800000000002</v>
      </c>
      <c r="M19" s="862">
        <f t="shared" si="2"/>
        <v>-21.423999999999978</v>
      </c>
      <c r="N19" s="862">
        <f t="shared" si="2"/>
        <v>-321.67700000000008</v>
      </c>
      <c r="O19" s="862">
        <f t="shared" si="2"/>
        <v>-4.5069999999999482</v>
      </c>
      <c r="P19" s="862">
        <f t="shared" si="2"/>
        <v>-271.37299999999993</v>
      </c>
      <c r="Q19" s="862">
        <f t="shared" si="2"/>
        <v>-32.221000000000004</v>
      </c>
      <c r="R19" s="1219">
        <f t="shared" si="2"/>
        <v>-79.735000000000127</v>
      </c>
    </row>
    <row r="20" spans="2:18" x14ac:dyDescent="0.25">
      <c r="B20" s="1877" t="s">
        <v>871</v>
      </c>
      <c r="C20" s="71">
        <f>+UFRS!C54/1000000</f>
        <v>0</v>
      </c>
      <c r="D20" s="71">
        <f>+UFRS!D54/1000000</f>
        <v>0</v>
      </c>
      <c r="E20" s="71">
        <f>+UFRS!E54/1000000</f>
        <v>0</v>
      </c>
      <c r="F20" s="71">
        <f>+UFRS!F54/1000000</f>
        <v>0</v>
      </c>
      <c r="G20" s="71">
        <f>+UFRS!G54/1000000</f>
        <v>0</v>
      </c>
      <c r="H20" s="71">
        <f>+UFRS!H54/1000000</f>
        <v>0</v>
      </c>
      <c r="I20" s="71">
        <f>+UFRS!I54/1000000</f>
        <v>0</v>
      </c>
      <c r="J20" s="1505">
        <f>+UFRS!J54/1000000</f>
        <v>0</v>
      </c>
      <c r="K20" s="98"/>
      <c r="L20" s="1211">
        <f t="shared" si="3"/>
        <v>0</v>
      </c>
      <c r="M20" s="71">
        <f t="shared" si="2"/>
        <v>0</v>
      </c>
      <c r="N20" s="71">
        <f t="shared" si="2"/>
        <v>0</v>
      </c>
      <c r="O20" s="71">
        <f t="shared" si="2"/>
        <v>0</v>
      </c>
      <c r="P20" s="71">
        <f t="shared" si="2"/>
        <v>0</v>
      </c>
      <c r="Q20" s="71">
        <f t="shared" si="2"/>
        <v>0</v>
      </c>
      <c r="R20" s="1212">
        <f t="shared" si="2"/>
        <v>0</v>
      </c>
    </row>
    <row r="21" spans="2:18" x14ac:dyDescent="0.25">
      <c r="B21" s="1877" t="s">
        <v>780</v>
      </c>
      <c r="C21" s="71">
        <f>+UFRS!C53/1000000</f>
        <v>65.878</v>
      </c>
      <c r="D21" s="71">
        <f>+UFRS!D53/1000000</f>
        <v>41.509</v>
      </c>
      <c r="E21" s="71">
        <f>+UFRS!E53/1000000</f>
        <v>39.244</v>
      </c>
      <c r="F21" s="71">
        <f>+UFRS!F53/1000000</f>
        <v>63.387</v>
      </c>
      <c r="G21" s="71">
        <f>+UFRS!G53/1000000</f>
        <v>85.968000000000004</v>
      </c>
      <c r="H21" s="71">
        <f>+UFRS!H53/1000000</f>
        <v>90.659000000000006</v>
      </c>
      <c r="I21" s="71">
        <f>+UFRS!I53/1000000</f>
        <v>77.352999999999994</v>
      </c>
      <c r="J21" s="1505">
        <f>+UFRS!J53/1000000</f>
        <v>198.64699999999999</v>
      </c>
      <c r="L21" s="1218">
        <f t="shared" si="3"/>
        <v>24.369</v>
      </c>
      <c r="M21" s="862">
        <f t="shared" si="3"/>
        <v>2.2650000000000006</v>
      </c>
      <c r="N21" s="862">
        <f t="shared" si="3"/>
        <v>-24.143000000000001</v>
      </c>
      <c r="O21" s="862">
        <f t="shared" si="3"/>
        <v>-22.581000000000003</v>
      </c>
      <c r="P21" s="862">
        <f t="shared" si="3"/>
        <v>-4.6910000000000025</v>
      </c>
      <c r="Q21" s="862">
        <f t="shared" si="3"/>
        <v>13.306000000000012</v>
      </c>
      <c r="R21" s="1219">
        <f t="shared" si="3"/>
        <v>-121.294</v>
      </c>
    </row>
    <row r="22" spans="2:18" x14ac:dyDescent="0.25">
      <c r="B22" s="1879" t="s">
        <v>97</v>
      </c>
      <c r="C22" s="84">
        <f t="shared" ref="C22:I22" si="5">C13-SUM(C14:C21)</f>
        <v>0</v>
      </c>
      <c r="D22" s="84">
        <f t="shared" si="5"/>
        <v>0</v>
      </c>
      <c r="E22" s="84">
        <f t="shared" si="5"/>
        <v>0</v>
      </c>
      <c r="F22" s="84">
        <f t="shared" si="5"/>
        <v>0</v>
      </c>
      <c r="G22" s="84">
        <f t="shared" si="5"/>
        <v>0</v>
      </c>
      <c r="H22" s="84">
        <f t="shared" si="5"/>
        <v>0</v>
      </c>
      <c r="I22" s="84">
        <f t="shared" si="5"/>
        <v>17.803000000000338</v>
      </c>
      <c r="J22" s="1880">
        <f>J13-SUM(J14:J21)</f>
        <v>144.74200000000019</v>
      </c>
      <c r="L22" s="1218">
        <f t="shared" si="3"/>
        <v>0</v>
      </c>
      <c r="M22" s="862">
        <f t="shared" si="3"/>
        <v>0</v>
      </c>
      <c r="N22" s="862">
        <f t="shared" si="3"/>
        <v>0</v>
      </c>
      <c r="O22" s="862">
        <f t="shared" si="3"/>
        <v>0</v>
      </c>
      <c r="P22" s="862">
        <f t="shared" si="3"/>
        <v>0</v>
      </c>
      <c r="Q22" s="862">
        <f t="shared" si="3"/>
        <v>-17.803000000000338</v>
      </c>
      <c r="R22" s="1219">
        <f t="shared" si="3"/>
        <v>-126.93899999999985</v>
      </c>
    </row>
    <row r="23" spans="2:18" x14ac:dyDescent="0.25">
      <c r="B23" s="1881" t="s">
        <v>908</v>
      </c>
      <c r="C23" s="1882">
        <f t="shared" ref="C23:J23" si="6">C13+C4</f>
        <v>6929.2289999999994</v>
      </c>
      <c r="D23" s="1882">
        <f t="shared" si="6"/>
        <v>6426.6579999999994</v>
      </c>
      <c r="E23" s="1882">
        <f t="shared" si="6"/>
        <v>7321.759</v>
      </c>
      <c r="F23" s="1882">
        <f t="shared" si="6"/>
        <v>9197.7530000000006</v>
      </c>
      <c r="G23" s="1882">
        <f t="shared" si="6"/>
        <v>10228.153</v>
      </c>
      <c r="H23" s="1882">
        <f t="shared" si="6"/>
        <v>11410.916000000001</v>
      </c>
      <c r="I23" s="1882">
        <f t="shared" si="6"/>
        <v>12395.004999999999</v>
      </c>
      <c r="J23" s="1883">
        <f t="shared" si="6"/>
        <v>13738.508000000002</v>
      </c>
      <c r="K23" s="7"/>
      <c r="L23" s="1186">
        <f t="shared" si="3"/>
        <v>502.57099999999991</v>
      </c>
      <c r="M23" s="1186">
        <f t="shared" si="3"/>
        <v>-895.10100000000057</v>
      </c>
      <c r="N23" s="1186">
        <f t="shared" si="3"/>
        <v>-1875.9940000000006</v>
      </c>
      <c r="O23" s="1186">
        <f t="shared" si="3"/>
        <v>-1030.3999999999996</v>
      </c>
      <c r="P23" s="1186">
        <f t="shared" si="3"/>
        <v>-1182.7630000000008</v>
      </c>
      <c r="Q23" s="1186">
        <f t="shared" si="3"/>
        <v>-984.08899999999812</v>
      </c>
      <c r="R23" s="1186">
        <f t="shared" si="3"/>
        <v>-1343.5030000000024</v>
      </c>
    </row>
    <row r="24" spans="2:18" x14ac:dyDescent="0.25">
      <c r="C24" s="6"/>
      <c r="D24" s="6"/>
      <c r="E24" s="6"/>
      <c r="F24" s="6"/>
      <c r="G24" s="6"/>
      <c r="H24" s="6"/>
      <c r="I24" s="6"/>
      <c r="J24" s="6"/>
      <c r="L24" s="1218">
        <f t="shared" si="3"/>
        <v>0</v>
      </c>
      <c r="M24" s="862">
        <f t="shared" si="3"/>
        <v>0</v>
      </c>
      <c r="N24" s="862">
        <f t="shared" si="3"/>
        <v>0</v>
      </c>
      <c r="O24" s="862">
        <f t="shared" si="3"/>
        <v>0</v>
      </c>
      <c r="P24" s="862">
        <f t="shared" si="3"/>
        <v>0</v>
      </c>
      <c r="Q24" s="862">
        <f t="shared" si="3"/>
        <v>0</v>
      </c>
      <c r="R24" s="1219">
        <f t="shared" si="3"/>
        <v>0</v>
      </c>
    </row>
    <row r="25" spans="2:18" x14ac:dyDescent="0.25">
      <c r="B25" s="1884" t="s">
        <v>62</v>
      </c>
      <c r="C25" s="1885">
        <f>UFRS!C61/1000000</f>
        <v>3061.056</v>
      </c>
      <c r="D25" s="1885">
        <f>UFRS!D61/1000000</f>
        <v>3179.663</v>
      </c>
      <c r="E25" s="1885">
        <f>UFRS!E61/1000000</f>
        <v>2341.989</v>
      </c>
      <c r="F25" s="1885">
        <f>UFRS!F61/1000000</f>
        <v>3530.62</v>
      </c>
      <c r="G25" s="1885">
        <f>UFRS!G61/1000000</f>
        <v>3949.7620000000002</v>
      </c>
      <c r="H25" s="1885">
        <f>UFRS!H61/1000000</f>
        <v>4091.143</v>
      </c>
      <c r="I25" s="1885">
        <f>UFRS!I61/1000000</f>
        <v>4430.8029999999999</v>
      </c>
      <c r="J25" s="1886">
        <f>UFRS!J61/1000000</f>
        <v>5236.2969999999996</v>
      </c>
      <c r="K25" s="103"/>
      <c r="L25" s="1181">
        <f t="shared" si="3"/>
        <v>-118.60699999999997</v>
      </c>
      <c r="M25" s="1181">
        <f t="shared" si="3"/>
        <v>837.67399999999998</v>
      </c>
      <c r="N25" s="1181">
        <f t="shared" si="3"/>
        <v>-1188.6309999999999</v>
      </c>
      <c r="O25" s="1181">
        <f t="shared" si="3"/>
        <v>-419.14200000000028</v>
      </c>
      <c r="P25" s="1181">
        <f t="shared" si="3"/>
        <v>-141.38099999999986</v>
      </c>
      <c r="Q25" s="1181">
        <f t="shared" si="3"/>
        <v>-339.65999999999985</v>
      </c>
      <c r="R25" s="1181">
        <f t="shared" si="3"/>
        <v>-805.49399999999969</v>
      </c>
    </row>
    <row r="26" spans="2:18" x14ac:dyDescent="0.25">
      <c r="B26" s="1874" t="s">
        <v>7</v>
      </c>
      <c r="C26" s="1197">
        <f>SUM(UFRS!C62:C70,UFRS!C73)/1000000</f>
        <v>1920.038</v>
      </c>
      <c r="D26" s="1197">
        <f>SUM(UFRS!D62:D70,UFRS!D73)/1000000</f>
        <v>1924.425</v>
      </c>
      <c r="E26" s="1197">
        <f>SUM(UFRS!E62:E70,UFRS!E73)/1000000</f>
        <v>839.45899999999995</v>
      </c>
      <c r="F26" s="1197">
        <f>SUM(UFRS!F62:F70,UFRS!F73)/1000000</f>
        <v>1629.1379999999999</v>
      </c>
      <c r="G26" s="1197">
        <f>SUM(UFRS!G62:G70,UFRS!G73)/1000000</f>
        <v>2148.0859999999998</v>
      </c>
      <c r="H26" s="1197">
        <f>SUM(UFRS!H62:H70,UFRS!H73)/1000000</f>
        <v>1687.876</v>
      </c>
      <c r="I26" s="1197">
        <f>SUM(UFRS!I62:I70,UFRS!I73)/1000000</f>
        <v>1806.434</v>
      </c>
      <c r="J26" s="1887">
        <f>SUM(UFRS!J62:J70,UFRS!J73)/1000000</f>
        <v>2188.0050000000001</v>
      </c>
      <c r="K26" s="105"/>
      <c r="L26" s="1849">
        <f t="shared" si="3"/>
        <v>-4.3869999999999436</v>
      </c>
      <c r="M26" s="1850">
        <f t="shared" si="3"/>
        <v>1084.9659999999999</v>
      </c>
      <c r="N26" s="1850">
        <f t="shared" si="3"/>
        <v>-789.67899999999997</v>
      </c>
      <c r="O26" s="1850">
        <f t="shared" si="3"/>
        <v>-518.94799999999987</v>
      </c>
      <c r="P26" s="1850">
        <f t="shared" si="3"/>
        <v>460.20999999999981</v>
      </c>
      <c r="Q26" s="1850">
        <f t="shared" si="3"/>
        <v>-118.55799999999999</v>
      </c>
      <c r="R26" s="1851">
        <f t="shared" si="3"/>
        <v>-381.57100000000014</v>
      </c>
    </row>
    <row r="27" spans="2:18" x14ac:dyDescent="0.25">
      <c r="B27" s="1877" t="s">
        <v>11</v>
      </c>
      <c r="C27" s="1273">
        <f>SUM(UFRS!C71:C72)/1000000</f>
        <v>705.327</v>
      </c>
      <c r="D27" s="1273">
        <f>SUM(UFRS!D71:D72)/1000000</f>
        <v>762.40200000000004</v>
      </c>
      <c r="E27" s="1273">
        <f>SUM(UFRS!E71:E72)/1000000</f>
        <v>968.96199999999999</v>
      </c>
      <c r="F27" s="1273">
        <f>SUM(UFRS!F71:F72)/1000000</f>
        <v>1249.5309999999999</v>
      </c>
      <c r="G27" s="1273">
        <f>SUM(UFRS!G71:G72)/1000000</f>
        <v>1175.8040000000001</v>
      </c>
      <c r="H27" s="1273">
        <f>SUM(UFRS!H71:H72)/1000000</f>
        <v>1644.9</v>
      </c>
      <c r="I27" s="1273">
        <f>SUM(UFRS!I71:I72)/1000000</f>
        <v>1781.442</v>
      </c>
      <c r="J27" s="1878">
        <f>SUM(UFRS!J71:J72)/1000000</f>
        <v>2090.3939999999998</v>
      </c>
      <c r="L27" s="1218">
        <f t="shared" si="3"/>
        <v>-57.075000000000045</v>
      </c>
      <c r="M27" s="862">
        <f t="shared" si="3"/>
        <v>-206.55999999999995</v>
      </c>
      <c r="N27" s="862">
        <f t="shared" si="3"/>
        <v>-280.56899999999996</v>
      </c>
      <c r="O27" s="862">
        <f t="shared" si="3"/>
        <v>73.726999999999862</v>
      </c>
      <c r="P27" s="862">
        <f t="shared" si="3"/>
        <v>-469.096</v>
      </c>
      <c r="Q27" s="862">
        <f t="shared" si="3"/>
        <v>-136.54199999999992</v>
      </c>
      <c r="R27" s="1219">
        <f t="shared" si="3"/>
        <v>-308.95199999999977</v>
      </c>
    </row>
    <row r="28" spans="2:18" x14ac:dyDescent="0.25">
      <c r="B28" s="1877" t="s">
        <v>99</v>
      </c>
      <c r="C28" s="1888">
        <f>+UFRS!C74/1000000</f>
        <v>83.834999999999994</v>
      </c>
      <c r="D28" s="1888">
        <f>+UFRS!D74/1000000</f>
        <v>104.533</v>
      </c>
      <c r="E28" s="1888">
        <f>+UFRS!E74/1000000</f>
        <v>129.53</v>
      </c>
      <c r="F28" s="1888">
        <f>+UFRS!F74/1000000</f>
        <v>183.691</v>
      </c>
      <c r="G28" s="1888">
        <f>+UFRS!G74/1000000</f>
        <v>164.98400000000001</v>
      </c>
      <c r="H28" s="1888">
        <f>+UFRS!H74/1000000</f>
        <v>105.386</v>
      </c>
      <c r="I28" s="1888">
        <f>+UFRS!I74/1000000</f>
        <v>124.91800000000001</v>
      </c>
      <c r="J28" s="1889">
        <f>+UFRS!J74/1000000</f>
        <v>168.51900000000001</v>
      </c>
      <c r="L28" s="1218">
        <f t="shared" si="3"/>
        <v>-20.698000000000008</v>
      </c>
      <c r="M28" s="862">
        <f t="shared" si="3"/>
        <v>-24.997</v>
      </c>
      <c r="N28" s="862">
        <f t="shared" si="3"/>
        <v>-54.161000000000001</v>
      </c>
      <c r="O28" s="862">
        <f t="shared" si="3"/>
        <v>18.706999999999994</v>
      </c>
      <c r="P28" s="862">
        <f t="shared" si="3"/>
        <v>59.598000000000013</v>
      </c>
      <c r="Q28" s="862">
        <f t="shared" si="3"/>
        <v>-19.532000000000011</v>
      </c>
      <c r="R28" s="1219">
        <f t="shared" si="3"/>
        <v>-43.600999999999999</v>
      </c>
    </row>
    <row r="29" spans="2:18" x14ac:dyDescent="0.25">
      <c r="B29" s="1877" t="s">
        <v>705</v>
      </c>
      <c r="C29" s="71">
        <f>+UFRS!C75/1000000</f>
        <v>0</v>
      </c>
      <c r="D29" s="71">
        <f>+UFRS!D75/1000000</f>
        <v>0</v>
      </c>
      <c r="E29" s="71">
        <f>+UFRS!E75/1000000</f>
        <v>0</v>
      </c>
      <c r="F29" s="71">
        <f>+UFRS!F75/1000000</f>
        <v>0</v>
      </c>
      <c r="G29" s="71">
        <f>+UFRS!G75/1000000</f>
        <v>0</v>
      </c>
      <c r="H29" s="71">
        <f>+UFRS!H75/1000000</f>
        <v>0</v>
      </c>
      <c r="I29" s="71">
        <f>+UFRS!I75/1000000</f>
        <v>0</v>
      </c>
      <c r="J29" s="1505">
        <f>+UFRS!J75/1000000</f>
        <v>0</v>
      </c>
      <c r="L29" s="1218">
        <f t="shared" si="3"/>
        <v>0</v>
      </c>
      <c r="M29" s="862">
        <f t="shared" si="3"/>
        <v>0</v>
      </c>
      <c r="N29" s="862">
        <f t="shared" si="3"/>
        <v>0</v>
      </c>
      <c r="O29" s="862">
        <f t="shared" si="3"/>
        <v>0</v>
      </c>
      <c r="P29" s="862">
        <f t="shared" si="3"/>
        <v>0</v>
      </c>
      <c r="Q29" s="862">
        <f t="shared" si="3"/>
        <v>0</v>
      </c>
      <c r="R29" s="1219">
        <f t="shared" si="3"/>
        <v>0</v>
      </c>
    </row>
    <row r="30" spans="2:18" x14ac:dyDescent="0.25">
      <c r="B30" s="1877" t="s">
        <v>819</v>
      </c>
      <c r="C30" s="1273">
        <f>(UFRS!C69+UFRS!C80)/1000000</f>
        <v>198.29400000000001</v>
      </c>
      <c r="D30" s="1273">
        <f>(UFRS!D69+UFRS!D80)/1000000</f>
        <v>204.65899999999999</v>
      </c>
      <c r="E30" s="1273">
        <f>(UFRS!E69+UFRS!E80)/1000000</f>
        <v>205.16</v>
      </c>
      <c r="F30" s="1273">
        <f>(UFRS!F69+UFRS!F80)/1000000</f>
        <v>232.39</v>
      </c>
      <c r="G30" s="1273">
        <f>(UFRS!G69+UFRS!G80)/1000000</f>
        <v>233.37700000000001</v>
      </c>
      <c r="H30" s="1273">
        <f>(UFRS!H69+UFRS!H80)/1000000</f>
        <v>258.548</v>
      </c>
      <c r="I30" s="1273">
        <f>(UFRS!I69+UFRS!I80)/1000000</f>
        <v>263.99200000000002</v>
      </c>
      <c r="J30" s="1878">
        <f>(UFRS!J69+UFRS!J80)/1000000</f>
        <v>334.536</v>
      </c>
      <c r="L30" s="1218">
        <f t="shared" si="3"/>
        <v>-6.3649999999999807</v>
      </c>
      <c r="M30" s="862">
        <f t="shared" si="3"/>
        <v>-0.50100000000000477</v>
      </c>
      <c r="N30" s="862">
        <f t="shared" si="3"/>
        <v>-27.22999999999999</v>
      </c>
      <c r="O30" s="862">
        <f t="shared" si="3"/>
        <v>-0.98700000000002319</v>
      </c>
      <c r="P30" s="862">
        <f t="shared" si="3"/>
        <v>-25.170999999999992</v>
      </c>
      <c r="Q30" s="862">
        <f t="shared" si="3"/>
        <v>-5.4440000000000168</v>
      </c>
      <c r="R30" s="1219">
        <f t="shared" si="3"/>
        <v>-70.543999999999983</v>
      </c>
    </row>
    <row r="31" spans="2:18" x14ac:dyDescent="0.25">
      <c r="B31" s="1877" t="s">
        <v>913</v>
      </c>
      <c r="C31" s="1273">
        <f>+UFRS!C82/1000000</f>
        <v>0</v>
      </c>
      <c r="D31" s="1273">
        <f>+UFRS!D82/1000000</f>
        <v>0</v>
      </c>
      <c r="E31" s="1273">
        <f>+UFRS!E82/1000000</f>
        <v>0</v>
      </c>
      <c r="F31" s="1273">
        <f>+UFRS!F82/1000000</f>
        <v>0</v>
      </c>
      <c r="G31" s="1273">
        <f>+UFRS!G82/1000000</f>
        <v>0</v>
      </c>
      <c r="H31" s="1273">
        <f>+UFRS!H82/1000000</f>
        <v>0</v>
      </c>
      <c r="I31" s="1273">
        <f>+UFRS!I82/1000000</f>
        <v>0</v>
      </c>
      <c r="J31" s="1878">
        <f>+UFRS!J82/1000000</f>
        <v>0</v>
      </c>
      <c r="L31" s="1218">
        <f t="shared" si="3"/>
        <v>0</v>
      </c>
      <c r="M31" s="862">
        <f t="shared" si="3"/>
        <v>0</v>
      </c>
      <c r="N31" s="862">
        <f t="shared" si="3"/>
        <v>0</v>
      </c>
      <c r="O31" s="862">
        <f t="shared" si="3"/>
        <v>0</v>
      </c>
      <c r="P31" s="862">
        <f t="shared" si="3"/>
        <v>0</v>
      </c>
      <c r="Q31" s="862">
        <f t="shared" si="3"/>
        <v>0</v>
      </c>
      <c r="R31" s="1219">
        <f t="shared" si="3"/>
        <v>0</v>
      </c>
    </row>
    <row r="32" spans="2:18" x14ac:dyDescent="0.25">
      <c r="B32" s="1877" t="s">
        <v>102</v>
      </c>
      <c r="C32" s="71">
        <f>C25-SUM(C26:C31)</f>
        <v>153.56200000000035</v>
      </c>
      <c r="D32" s="71">
        <f t="shared" ref="D32:J32" si="7">D25-SUM(D26:D31)</f>
        <v>183.64399999999978</v>
      </c>
      <c r="E32" s="71">
        <f t="shared" si="7"/>
        <v>198.87800000000016</v>
      </c>
      <c r="F32" s="71">
        <f t="shared" si="7"/>
        <v>235.87000000000035</v>
      </c>
      <c r="G32" s="71">
        <f t="shared" si="7"/>
        <v>227.51100000000042</v>
      </c>
      <c r="H32" s="71">
        <f t="shared" si="7"/>
        <v>394.43299999999999</v>
      </c>
      <c r="I32" s="71">
        <f t="shared" si="7"/>
        <v>454.01699999999937</v>
      </c>
      <c r="J32" s="1505">
        <f t="shared" si="7"/>
        <v>454.84299999999985</v>
      </c>
      <c r="L32" s="1218">
        <f t="shared" si="3"/>
        <v>-30.081999999999425</v>
      </c>
      <c r="M32" s="862">
        <f t="shared" si="3"/>
        <v>-15.234000000000378</v>
      </c>
      <c r="N32" s="862">
        <f t="shared" si="3"/>
        <v>-36.992000000000189</v>
      </c>
      <c r="O32" s="862">
        <f t="shared" si="3"/>
        <v>8.3589999999999236</v>
      </c>
      <c r="P32" s="862">
        <f t="shared" si="3"/>
        <v>-166.92199999999957</v>
      </c>
      <c r="Q32" s="862">
        <f t="shared" si="3"/>
        <v>-59.583999999999378</v>
      </c>
      <c r="R32" s="1219">
        <f t="shared" si="3"/>
        <v>-0.82600000000047658</v>
      </c>
    </row>
    <row r="33" spans="2:18" x14ac:dyDescent="0.25">
      <c r="B33" s="1872" t="s">
        <v>14</v>
      </c>
      <c r="C33" s="1186">
        <f>UFRS!C87/1000000</f>
        <v>1866.8440000000001</v>
      </c>
      <c r="D33" s="1186">
        <f>UFRS!D87/1000000</f>
        <v>503.49200000000002</v>
      </c>
      <c r="E33" s="1186">
        <f>UFRS!E87/1000000</f>
        <v>1572.0360000000001</v>
      </c>
      <c r="F33" s="1186">
        <f>UFRS!F87/1000000</f>
        <v>2015.492</v>
      </c>
      <c r="G33" s="1186">
        <f>UFRS!G87/1000000</f>
        <v>2351.1559999999999</v>
      </c>
      <c r="H33" s="1186">
        <f>UFRS!H87/1000000</f>
        <v>3181.0169999999998</v>
      </c>
      <c r="I33" s="1186">
        <f>UFRS!I87/1000000</f>
        <v>3565.5039999999999</v>
      </c>
      <c r="J33" s="1873">
        <f>UFRS!J87/1000000</f>
        <v>3826.3739999999998</v>
      </c>
      <c r="K33" s="103"/>
      <c r="L33" s="1186">
        <f t="shared" si="3"/>
        <v>1363.3520000000001</v>
      </c>
      <c r="M33" s="1186">
        <f t="shared" si="3"/>
        <v>-1068.5440000000001</v>
      </c>
      <c r="N33" s="1186">
        <f t="shared" si="3"/>
        <v>-443.4559999999999</v>
      </c>
      <c r="O33" s="1186">
        <f t="shared" si="3"/>
        <v>-335.66399999999999</v>
      </c>
      <c r="P33" s="1186">
        <f t="shared" si="3"/>
        <v>-829.86099999999988</v>
      </c>
      <c r="Q33" s="1186">
        <f t="shared" si="3"/>
        <v>-384.48700000000008</v>
      </c>
      <c r="R33" s="1186">
        <f t="shared" si="3"/>
        <v>-260.86999999999989</v>
      </c>
    </row>
    <row r="34" spans="2:18" x14ac:dyDescent="0.25">
      <c r="B34" s="1877" t="s">
        <v>7</v>
      </c>
      <c r="C34" s="71">
        <f>SUM(UFRS!C88:C92)/1000000</f>
        <v>1576.6030000000001</v>
      </c>
      <c r="D34" s="71">
        <f>SUM(UFRS!D88:D92)/1000000</f>
        <v>188.31399999999999</v>
      </c>
      <c r="E34" s="71">
        <f>SUM(UFRS!E88:E92)/1000000</f>
        <v>1218.0719999999999</v>
      </c>
      <c r="F34" s="71">
        <f>SUM(UFRS!F88:F92)/1000000</f>
        <v>1528.2370000000001</v>
      </c>
      <c r="G34" s="71">
        <f>SUM(UFRS!G88:G92)/1000000</f>
        <v>1859.1030000000001</v>
      </c>
      <c r="H34" s="71">
        <f>SUM(UFRS!H88:H92)/1000000</f>
        <v>2581.1590000000001</v>
      </c>
      <c r="I34" s="71">
        <f>SUM(UFRS!I88:I92)/1000000</f>
        <v>2964.9859999999999</v>
      </c>
      <c r="J34" s="1505">
        <f>SUM(UFRS!J88:J92)/1000000</f>
        <v>3268.9070000000002</v>
      </c>
      <c r="L34" s="1218">
        <f t="shared" si="3"/>
        <v>1388.289</v>
      </c>
      <c r="M34" s="862">
        <f t="shared" si="3"/>
        <v>-1029.7579999999998</v>
      </c>
      <c r="N34" s="862">
        <f t="shared" si="3"/>
        <v>-310.16500000000019</v>
      </c>
      <c r="O34" s="862">
        <f t="shared" si="3"/>
        <v>-330.86599999999999</v>
      </c>
      <c r="P34" s="862">
        <f t="shared" si="3"/>
        <v>-722.05600000000004</v>
      </c>
      <c r="Q34" s="862">
        <f t="shared" si="3"/>
        <v>-383.82699999999977</v>
      </c>
      <c r="R34" s="1219">
        <f t="shared" si="3"/>
        <v>-303.92100000000028</v>
      </c>
    </row>
    <row r="35" spans="2:18" x14ac:dyDescent="0.25">
      <c r="B35" s="1877" t="s">
        <v>11</v>
      </c>
      <c r="C35" s="1273">
        <f>SUM(UFRS!C95,UFRS!C96)/1000000</f>
        <v>72.954999999999998</v>
      </c>
      <c r="D35" s="1273">
        <f>SUM(UFRS!D95,UFRS!D96)/1000000</f>
        <v>67.38</v>
      </c>
      <c r="E35" s="1273">
        <f>SUM(UFRS!E95,UFRS!E96)/1000000</f>
        <v>63.680999999999997</v>
      </c>
      <c r="F35" s="1273">
        <f>SUM(UFRS!F95,UFRS!F96)/1000000</f>
        <v>70.539000000000001</v>
      </c>
      <c r="G35" s="1273">
        <f>SUM(UFRS!G95,UFRS!G96)/1000000</f>
        <v>59.54</v>
      </c>
      <c r="H35" s="1273">
        <f>SUM(UFRS!H95,UFRS!H96)/1000000</f>
        <v>0</v>
      </c>
      <c r="I35" s="1273">
        <f>SUM(UFRS!I95,UFRS!I96)/1000000</f>
        <v>0</v>
      </c>
      <c r="J35" s="1878">
        <f>SUM(UFRS!J95,UFRS!J96)/1000000</f>
        <v>0</v>
      </c>
      <c r="L35" s="1218">
        <f t="shared" si="3"/>
        <v>5.5750000000000028</v>
      </c>
      <c r="M35" s="862">
        <f t="shared" si="3"/>
        <v>3.6989999999999981</v>
      </c>
      <c r="N35" s="862">
        <f t="shared" si="3"/>
        <v>-6.8580000000000041</v>
      </c>
      <c r="O35" s="862">
        <f t="shared" si="3"/>
        <v>10.999000000000002</v>
      </c>
      <c r="P35" s="862">
        <f t="shared" si="3"/>
        <v>59.54</v>
      </c>
      <c r="Q35" s="862">
        <f t="shared" si="3"/>
        <v>0</v>
      </c>
      <c r="R35" s="1219">
        <f t="shared" si="3"/>
        <v>0</v>
      </c>
    </row>
    <row r="36" spans="2:18" x14ac:dyDescent="0.25">
      <c r="B36" s="1877" t="s">
        <v>99</v>
      </c>
      <c r="C36" s="71">
        <f>+UFRS!C98/1000000</f>
        <v>0</v>
      </c>
      <c r="D36" s="71">
        <f>+UFRS!D98/1000000</f>
        <v>0</v>
      </c>
      <c r="E36" s="71">
        <f>+UFRS!E98/1000000</f>
        <v>0</v>
      </c>
      <c r="F36" s="71">
        <f>+UFRS!F98/1000000</f>
        <v>0</v>
      </c>
      <c r="G36" s="71">
        <f>+UFRS!G98/1000000</f>
        <v>0</v>
      </c>
      <c r="H36" s="71">
        <f>+UFRS!H98/1000000</f>
        <v>62.427</v>
      </c>
      <c r="I36" s="71">
        <f>+UFRS!I98/1000000</f>
        <v>57.823</v>
      </c>
      <c r="J36" s="1505">
        <f>+UFRS!J98/1000000</f>
        <v>60.673999999999999</v>
      </c>
      <c r="L36" s="1218">
        <f t="shared" si="3"/>
        <v>0</v>
      </c>
      <c r="M36" s="862">
        <f t="shared" si="3"/>
        <v>0</v>
      </c>
      <c r="N36" s="862">
        <f t="shared" si="3"/>
        <v>0</v>
      </c>
      <c r="O36" s="862">
        <f t="shared" si="3"/>
        <v>0</v>
      </c>
      <c r="P36" s="862">
        <f t="shared" si="3"/>
        <v>-62.427</v>
      </c>
      <c r="Q36" s="862">
        <f t="shared" si="3"/>
        <v>4.6039999999999992</v>
      </c>
      <c r="R36" s="1219">
        <f t="shared" si="3"/>
        <v>-2.8509999999999991</v>
      </c>
    </row>
    <row r="37" spans="2:18" x14ac:dyDescent="0.25">
      <c r="B37" s="1877" t="s">
        <v>705</v>
      </c>
      <c r="C37" s="71">
        <f>+UFRS!C100/1000000</f>
        <v>0</v>
      </c>
      <c r="D37" s="71">
        <f>+UFRS!D100/1000000</f>
        <v>0</v>
      </c>
      <c r="E37" s="71">
        <f>+UFRS!E100/1000000</f>
        <v>0</v>
      </c>
      <c r="F37" s="71">
        <f>+UFRS!F100/1000000</f>
        <v>0</v>
      </c>
      <c r="G37" s="71">
        <f>+UFRS!G100/1000000</f>
        <v>0</v>
      </c>
      <c r="H37" s="71">
        <f>+UFRS!H100/1000000</f>
        <v>0</v>
      </c>
      <c r="I37" s="71">
        <f>+UFRS!I100/1000000</f>
        <v>0</v>
      </c>
      <c r="J37" s="1505">
        <f>+UFRS!J100/1000000</f>
        <v>0</v>
      </c>
      <c r="L37" s="1218">
        <f t="shared" si="3"/>
        <v>0</v>
      </c>
      <c r="M37" s="862">
        <f t="shared" si="3"/>
        <v>0</v>
      </c>
      <c r="N37" s="862">
        <f t="shared" si="3"/>
        <v>0</v>
      </c>
      <c r="O37" s="862">
        <f t="shared" si="3"/>
        <v>0</v>
      </c>
      <c r="P37" s="862">
        <f t="shared" si="3"/>
        <v>0</v>
      </c>
      <c r="Q37" s="862">
        <f t="shared" si="3"/>
        <v>0</v>
      </c>
      <c r="R37" s="1219">
        <f t="shared" si="3"/>
        <v>0</v>
      </c>
    </row>
    <row r="38" spans="2:18" x14ac:dyDescent="0.25">
      <c r="B38" s="1877" t="s">
        <v>820</v>
      </c>
      <c r="C38" s="1273">
        <f>UFRS!C101/1000000</f>
        <v>113.414</v>
      </c>
      <c r="D38" s="1273">
        <f>UFRS!D101/1000000</f>
        <v>146.096</v>
      </c>
      <c r="E38" s="1273">
        <f>UFRS!E101/1000000</f>
        <v>157.83600000000001</v>
      </c>
      <c r="F38" s="1273">
        <f>UFRS!F101/1000000</f>
        <v>188.30099999999999</v>
      </c>
      <c r="G38" s="1273">
        <f>UFRS!G101/1000000</f>
        <v>194.40199999999999</v>
      </c>
      <c r="H38" s="1273">
        <f>UFRS!H101/1000000</f>
        <v>220.86799999999999</v>
      </c>
      <c r="I38" s="1273">
        <f>UFRS!I101/1000000</f>
        <v>268.67099999999999</v>
      </c>
      <c r="J38" s="1878">
        <f>UFRS!J101/1000000</f>
        <v>318.52199999999999</v>
      </c>
      <c r="L38" s="1218">
        <f t="shared" si="3"/>
        <v>-32.682000000000002</v>
      </c>
      <c r="M38" s="862">
        <f t="shared" si="3"/>
        <v>-11.740000000000009</v>
      </c>
      <c r="N38" s="862">
        <f t="shared" si="3"/>
        <v>-30.464999999999975</v>
      </c>
      <c r="O38" s="862">
        <f t="shared" si="3"/>
        <v>-6.1009999999999991</v>
      </c>
      <c r="P38" s="862">
        <f t="shared" si="3"/>
        <v>-26.466000000000008</v>
      </c>
      <c r="Q38" s="862">
        <f t="shared" si="3"/>
        <v>-47.802999999999997</v>
      </c>
      <c r="R38" s="1219">
        <f t="shared" si="3"/>
        <v>-49.850999999999999</v>
      </c>
    </row>
    <row r="39" spans="2:18" x14ac:dyDescent="0.25">
      <c r="B39" s="1877" t="s">
        <v>103</v>
      </c>
      <c r="C39" s="1273">
        <f>+UFRS!C107/1000000</f>
        <v>12.401</v>
      </c>
      <c r="D39" s="1273">
        <f>+UFRS!D107/1000000</f>
        <v>6.5010000000000003</v>
      </c>
      <c r="E39" s="1273">
        <f>+UFRS!E107/1000000</f>
        <v>3.8980000000000001</v>
      </c>
      <c r="F39" s="1273">
        <f>+UFRS!F107/1000000</f>
        <v>2.2730000000000001</v>
      </c>
      <c r="G39" s="1273">
        <f>+UFRS!G107/1000000</f>
        <v>1.7050000000000001</v>
      </c>
      <c r="H39" s="1273">
        <f>+UFRS!H107/1000000</f>
        <v>19.867999999999999</v>
      </c>
      <c r="I39" s="1273">
        <f>+UFRS!I107/1000000</f>
        <v>28.602</v>
      </c>
      <c r="J39" s="1878">
        <f>+UFRS!J107/1000000</f>
        <v>28.635999999999999</v>
      </c>
      <c r="L39" s="1218">
        <f t="shared" si="3"/>
        <v>5.8999999999999995</v>
      </c>
      <c r="M39" s="862">
        <f t="shared" si="3"/>
        <v>2.6030000000000002</v>
      </c>
      <c r="N39" s="862">
        <f t="shared" si="3"/>
        <v>1.625</v>
      </c>
      <c r="O39" s="862">
        <f t="shared" si="3"/>
        <v>0.56800000000000006</v>
      </c>
      <c r="P39" s="862">
        <f t="shared" si="3"/>
        <v>-18.162999999999997</v>
      </c>
      <c r="Q39" s="862">
        <f t="shared" si="3"/>
        <v>-8.7340000000000018</v>
      </c>
      <c r="R39" s="1219">
        <f t="shared" si="3"/>
        <v>-3.399999999999892E-2</v>
      </c>
    </row>
    <row r="40" spans="2:18" x14ac:dyDescent="0.25">
      <c r="B40" s="1877" t="s">
        <v>984</v>
      </c>
      <c r="C40" s="1273">
        <f>UFRS!C103/1000000</f>
        <v>91.471000000000004</v>
      </c>
      <c r="D40" s="1273">
        <f>UFRS!D103/1000000</f>
        <v>95.200999999999993</v>
      </c>
      <c r="E40" s="1273">
        <f>UFRS!E103/1000000</f>
        <v>128.54900000000001</v>
      </c>
      <c r="F40" s="1273">
        <f>UFRS!F103/1000000</f>
        <v>226.142</v>
      </c>
      <c r="G40" s="1273">
        <f>UFRS!G103/1000000</f>
        <v>236.40600000000001</v>
      </c>
      <c r="H40" s="1273">
        <f>UFRS!H103/1000000</f>
        <v>245.51499999999999</v>
      </c>
      <c r="I40" s="1273">
        <f>UFRS!I103/1000000</f>
        <v>245.422</v>
      </c>
      <c r="J40" s="1878">
        <f>UFRS!J103/1000000</f>
        <v>149.63499999999999</v>
      </c>
      <c r="L40" s="1218">
        <f t="shared" si="3"/>
        <v>-3.7299999999999898</v>
      </c>
      <c r="M40" s="862">
        <f t="shared" si="3"/>
        <v>-33.348000000000013</v>
      </c>
      <c r="N40" s="862">
        <f t="shared" si="3"/>
        <v>-97.592999999999989</v>
      </c>
      <c r="O40" s="862">
        <f t="shared" si="3"/>
        <v>-10.26400000000001</v>
      </c>
      <c r="P40" s="862">
        <f t="shared" si="3"/>
        <v>-9.1089999999999804</v>
      </c>
      <c r="Q40" s="862">
        <f t="shared" si="3"/>
        <v>9.2999999999989313E-2</v>
      </c>
      <c r="R40" s="1219">
        <f t="shared" si="3"/>
        <v>95.787000000000006</v>
      </c>
    </row>
    <row r="41" spans="2:18" x14ac:dyDescent="0.25">
      <c r="B41" s="1877" t="s">
        <v>103</v>
      </c>
      <c r="C41" s="71">
        <f t="shared" ref="C41:I41" si="8">C33-SUM(C34:C40)</f>
        <v>0</v>
      </c>
      <c r="D41" s="71">
        <f t="shared" si="8"/>
        <v>0</v>
      </c>
      <c r="E41" s="71">
        <f t="shared" si="8"/>
        <v>0</v>
      </c>
      <c r="F41" s="71">
        <f t="shared" si="8"/>
        <v>0</v>
      </c>
      <c r="G41" s="71">
        <f t="shared" si="8"/>
        <v>0</v>
      </c>
      <c r="H41" s="71">
        <f t="shared" si="8"/>
        <v>51.179999999999836</v>
      </c>
      <c r="I41" s="71">
        <f t="shared" si="8"/>
        <v>0</v>
      </c>
      <c r="J41" s="1505">
        <f>J33-SUM(J34:J40)</f>
        <v>0</v>
      </c>
      <c r="L41" s="1218">
        <f t="shared" si="3"/>
        <v>0</v>
      </c>
      <c r="M41" s="862">
        <f t="shared" si="3"/>
        <v>0</v>
      </c>
      <c r="N41" s="862">
        <f t="shared" si="3"/>
        <v>0</v>
      </c>
      <c r="O41" s="862">
        <f t="shared" si="3"/>
        <v>0</v>
      </c>
      <c r="P41" s="862">
        <f t="shared" si="3"/>
        <v>-51.179999999999836</v>
      </c>
      <c r="Q41" s="862">
        <f t="shared" si="3"/>
        <v>51.179999999999836</v>
      </c>
      <c r="R41" s="1219">
        <f t="shared" si="3"/>
        <v>0</v>
      </c>
    </row>
    <row r="42" spans="2:18" x14ac:dyDescent="0.25">
      <c r="B42" s="1872" t="s">
        <v>821</v>
      </c>
      <c r="C42" s="1186">
        <f t="shared" ref="C42:J42" si="9">C43+C48</f>
        <v>2001.3290000000002</v>
      </c>
      <c r="D42" s="1186">
        <f t="shared" si="9"/>
        <v>2743.5030000000002</v>
      </c>
      <c r="E42" s="1186">
        <f t="shared" si="9"/>
        <v>3407.7339999999999</v>
      </c>
      <c r="F42" s="1186">
        <f t="shared" si="9"/>
        <v>3651.6410000000001</v>
      </c>
      <c r="G42" s="1186">
        <f t="shared" si="9"/>
        <v>3927.2350000000001</v>
      </c>
      <c r="H42" s="1186">
        <f t="shared" si="9"/>
        <v>4138.7560000000003</v>
      </c>
      <c r="I42" s="1186">
        <f t="shared" si="9"/>
        <v>4398.6980000000003</v>
      </c>
      <c r="J42" s="1873">
        <f t="shared" si="9"/>
        <v>4675.8370000000004</v>
      </c>
      <c r="K42" s="7"/>
      <c r="L42" s="1186">
        <f t="shared" si="3"/>
        <v>-742.17399999999998</v>
      </c>
      <c r="M42" s="1186">
        <f t="shared" si="3"/>
        <v>-664.23099999999977</v>
      </c>
      <c r="N42" s="1186">
        <f t="shared" si="3"/>
        <v>-243.90700000000015</v>
      </c>
      <c r="O42" s="1186">
        <f t="shared" si="3"/>
        <v>-275.59400000000005</v>
      </c>
      <c r="P42" s="1186">
        <f t="shared" si="3"/>
        <v>-211.52100000000019</v>
      </c>
      <c r="Q42" s="1186">
        <f t="shared" si="3"/>
        <v>-259.94200000000001</v>
      </c>
      <c r="R42" s="1186">
        <f t="shared" si="3"/>
        <v>-277.13900000000012</v>
      </c>
    </row>
    <row r="43" spans="2:18" x14ac:dyDescent="0.25">
      <c r="B43" s="1890" t="s">
        <v>826</v>
      </c>
      <c r="C43" s="1678">
        <f>UFRS!C113/1000000</f>
        <v>1938.0640000000001</v>
      </c>
      <c r="D43" s="1678">
        <f>UFRS!D113/1000000</f>
        <v>2700.1210000000001</v>
      </c>
      <c r="E43" s="1678">
        <f>UFRS!E113/1000000</f>
        <v>3341.5520000000001</v>
      </c>
      <c r="F43" s="1678">
        <f>UFRS!F113/1000000</f>
        <v>3545.5920000000001</v>
      </c>
      <c r="G43" s="1678">
        <f>UFRS!G113/1000000</f>
        <v>3841.652</v>
      </c>
      <c r="H43" s="1678">
        <f>UFRS!H113/1000000</f>
        <v>4062.85</v>
      </c>
      <c r="I43" s="1678">
        <f>UFRS!I113/1000000</f>
        <v>4355.625</v>
      </c>
      <c r="J43" s="1891">
        <f>UFRS!J113/1000000</f>
        <v>4657.0110000000004</v>
      </c>
      <c r="K43" s="7"/>
      <c r="L43" s="1223">
        <f t="shared" si="3"/>
        <v>-762.05700000000002</v>
      </c>
      <c r="M43" s="1224">
        <f t="shared" si="3"/>
        <v>-641.43100000000004</v>
      </c>
      <c r="N43" s="1224">
        <f t="shared" si="3"/>
        <v>-204.03999999999996</v>
      </c>
      <c r="O43" s="1224">
        <f t="shared" si="3"/>
        <v>-296.05999999999995</v>
      </c>
      <c r="P43" s="1224">
        <f t="shared" si="3"/>
        <v>-221.19799999999987</v>
      </c>
      <c r="Q43" s="1224">
        <f t="shared" si="3"/>
        <v>-292.77500000000009</v>
      </c>
      <c r="R43" s="1225">
        <f t="shared" si="3"/>
        <v>-301.38600000000042</v>
      </c>
    </row>
    <row r="44" spans="2:18" x14ac:dyDescent="0.25">
      <c r="B44" s="1877" t="s">
        <v>844</v>
      </c>
      <c r="C44" s="71">
        <f>+SUM(UFRS!C114:C115)/1000000</f>
        <v>399.96</v>
      </c>
      <c r="D44" s="71">
        <f>+SUM(UFRS!D114:D115)/1000000</f>
        <v>675.72799999999995</v>
      </c>
      <c r="E44" s="71">
        <f>+SUM(UFRS!E114:E115)/1000000</f>
        <v>675.72799999999995</v>
      </c>
      <c r="F44" s="71">
        <f>+SUM(UFRS!F114:F115)/1000000</f>
        <v>675.72799999999995</v>
      </c>
      <c r="G44" s="71">
        <f>+SUM(UFRS!G114:G115)/1000000</f>
        <v>675.72799999999995</v>
      </c>
      <c r="H44" s="71">
        <f>+SUM(UFRS!H114:H115)/1000000</f>
        <v>675.72799999999995</v>
      </c>
      <c r="I44" s="71">
        <f>+SUM(UFRS!I114:I115)/1000000</f>
        <v>675.72799999999995</v>
      </c>
      <c r="J44" s="1505">
        <f>+SUM(UFRS!J114:J115)/1000000</f>
        <v>675.72799999999995</v>
      </c>
      <c r="L44" s="1218">
        <f t="shared" si="3"/>
        <v>-275.76799999999997</v>
      </c>
      <c r="M44" s="862">
        <f t="shared" si="3"/>
        <v>0</v>
      </c>
      <c r="N44" s="862">
        <f t="shared" si="3"/>
        <v>0</v>
      </c>
      <c r="O44" s="862">
        <f t="shared" si="3"/>
        <v>0</v>
      </c>
      <c r="P44" s="862">
        <f t="shared" si="3"/>
        <v>0</v>
      </c>
      <c r="Q44" s="862">
        <f t="shared" si="3"/>
        <v>0</v>
      </c>
      <c r="R44" s="1219">
        <f t="shared" si="3"/>
        <v>0</v>
      </c>
    </row>
    <row r="45" spans="2:18" x14ac:dyDescent="0.25">
      <c r="B45" s="1877" t="s">
        <v>845</v>
      </c>
      <c r="C45" s="71">
        <f>UFRS!C235/1000000</f>
        <v>797.60900000000004</v>
      </c>
      <c r="D45" s="71">
        <f>UFRS!D235/1000000</f>
        <v>788.39499999999998</v>
      </c>
      <c r="E45" s="71">
        <f>UFRS!E235/1000000</f>
        <v>1011.254</v>
      </c>
      <c r="F45" s="71">
        <f>UFRS!F235/1000000</f>
        <v>957.12699999999995</v>
      </c>
      <c r="G45" s="71">
        <f>UFRS!G235/1000000</f>
        <v>1026.7750000000001</v>
      </c>
      <c r="H45" s="71">
        <f>UFRS!H235/1000000</f>
        <v>1222.1690000000001</v>
      </c>
      <c r="I45" s="71">
        <f>UFRS!I235/1000000</f>
        <v>1241.059</v>
      </c>
      <c r="J45" s="1505">
        <f>UFRS!J235/1000000</f>
        <v>1244.2660000000001</v>
      </c>
      <c r="L45" s="1218">
        <f t="shared" si="3"/>
        <v>9.2140000000000555</v>
      </c>
      <c r="M45" s="862">
        <f t="shared" si="3"/>
        <v>-222.85900000000004</v>
      </c>
      <c r="N45" s="862">
        <f t="shared" si="3"/>
        <v>54.127000000000066</v>
      </c>
      <c r="O45" s="862">
        <f t="shared" si="3"/>
        <v>-69.648000000000138</v>
      </c>
      <c r="P45" s="862">
        <f t="shared" si="3"/>
        <v>-195.39400000000001</v>
      </c>
      <c r="Q45" s="862">
        <f t="shared" si="3"/>
        <v>-18.889999999999873</v>
      </c>
      <c r="R45" s="1219">
        <f t="shared" si="3"/>
        <v>-3.2070000000001073</v>
      </c>
    </row>
    <row r="46" spans="2:18" x14ac:dyDescent="0.25">
      <c r="B46" s="1877" t="s">
        <v>846</v>
      </c>
      <c r="C46" s="71">
        <f>UFRS!C236/1000000</f>
        <v>39.793999999999997</v>
      </c>
      <c r="D46" s="71">
        <f>UFRS!D236/1000000</f>
        <v>485.41</v>
      </c>
      <c r="E46" s="71">
        <f>UFRS!E236/1000000</f>
        <v>517.09299999999996</v>
      </c>
      <c r="F46" s="71">
        <f>UFRS!F236/1000000</f>
        <v>506.50599999999997</v>
      </c>
      <c r="G46" s="71">
        <f>UFRS!G236/1000000</f>
        <v>524.76400000000001</v>
      </c>
      <c r="H46" s="71">
        <f>UFRS!H236/1000000</f>
        <v>597.84500000000003</v>
      </c>
      <c r="I46" s="71">
        <f>UFRS!I236/1000000</f>
        <v>617.08399999999995</v>
      </c>
      <c r="J46" s="1505">
        <f>UFRS!J236/1000000</f>
        <v>891.14099999999996</v>
      </c>
      <c r="L46" s="1218">
        <f t="shared" si="3"/>
        <v>-445.61600000000004</v>
      </c>
      <c r="M46" s="862">
        <f t="shared" si="3"/>
        <v>-31.682999999999936</v>
      </c>
      <c r="N46" s="862">
        <f t="shared" si="3"/>
        <v>10.586999999999989</v>
      </c>
      <c r="O46" s="862">
        <f t="shared" si="3"/>
        <v>-18.258000000000038</v>
      </c>
      <c r="P46" s="862">
        <f t="shared" si="3"/>
        <v>-73.081000000000017</v>
      </c>
      <c r="Q46" s="862">
        <f t="shared" si="3"/>
        <v>-19.238999999999919</v>
      </c>
      <c r="R46" s="1219">
        <f t="shared" si="3"/>
        <v>-274.05700000000002</v>
      </c>
    </row>
    <row r="47" spans="2:18" x14ac:dyDescent="0.25">
      <c r="B47" s="1877" t="s">
        <v>857</v>
      </c>
      <c r="C47" s="71">
        <f>UFRS!C237/1000000</f>
        <v>700.70100000000002</v>
      </c>
      <c r="D47" s="71">
        <f>UFRS!D237/1000000</f>
        <v>750.58799999999997</v>
      </c>
      <c r="E47" s="71">
        <f>UFRS!E237/1000000</f>
        <v>1137.4770000000001</v>
      </c>
      <c r="F47" s="71">
        <f>UFRS!F237/1000000</f>
        <v>1406.231</v>
      </c>
      <c r="G47" s="71">
        <f>UFRS!G237/1000000</f>
        <v>1614.385</v>
      </c>
      <c r="H47" s="71">
        <f>UFRS!H237/1000000</f>
        <v>1567.1079999999999</v>
      </c>
      <c r="I47" s="71">
        <f>UFRS!I237/1000000</f>
        <v>1821.7539999999999</v>
      </c>
      <c r="J47" s="1505">
        <f>UFRS!J237/1000000</f>
        <v>1845.876</v>
      </c>
      <c r="L47" s="1218">
        <f t="shared" si="3"/>
        <v>-49.886999999999944</v>
      </c>
      <c r="M47" s="862">
        <f t="shared" si="3"/>
        <v>-386.88900000000012</v>
      </c>
      <c r="N47" s="862">
        <f t="shared" si="3"/>
        <v>-268.75399999999991</v>
      </c>
      <c r="O47" s="862">
        <f t="shared" si="3"/>
        <v>-208.154</v>
      </c>
      <c r="P47" s="862">
        <f t="shared" si="3"/>
        <v>47.277000000000044</v>
      </c>
      <c r="Q47" s="862">
        <f t="shared" si="3"/>
        <v>-254.64599999999996</v>
      </c>
      <c r="R47" s="1219">
        <f t="shared" si="3"/>
        <v>-24.122000000000071</v>
      </c>
    </row>
    <row r="48" spans="2:18" x14ac:dyDescent="0.25">
      <c r="B48" s="1890" t="s">
        <v>822</v>
      </c>
      <c r="C48" s="1678">
        <f>UFRS!C110/1000000</f>
        <v>63.265000000000001</v>
      </c>
      <c r="D48" s="1678">
        <f>UFRS!D110/1000000</f>
        <v>43.381999999999998</v>
      </c>
      <c r="E48" s="1678">
        <f>UFRS!E110/1000000</f>
        <v>66.182000000000002</v>
      </c>
      <c r="F48" s="1678">
        <f>UFRS!F110/1000000</f>
        <v>106.04900000000001</v>
      </c>
      <c r="G48" s="1678">
        <f>UFRS!G110/1000000</f>
        <v>85.582999999999998</v>
      </c>
      <c r="H48" s="1678">
        <f>UFRS!H110/1000000</f>
        <v>75.906000000000006</v>
      </c>
      <c r="I48" s="1678">
        <f>UFRS!I110/1000000</f>
        <v>43.073</v>
      </c>
      <c r="J48" s="1891">
        <f>UFRS!J110/1000000</f>
        <v>18.826000000000001</v>
      </c>
      <c r="K48" s="7"/>
      <c r="L48" s="1223">
        <f t="shared" si="3"/>
        <v>19.883000000000003</v>
      </c>
      <c r="M48" s="1224">
        <f t="shared" si="3"/>
        <v>-22.800000000000004</v>
      </c>
      <c r="N48" s="1224">
        <f t="shared" si="3"/>
        <v>-39.867000000000004</v>
      </c>
      <c r="O48" s="1224">
        <f t="shared" si="3"/>
        <v>20.466000000000008</v>
      </c>
      <c r="P48" s="1224">
        <f t="shared" si="3"/>
        <v>9.6769999999999925</v>
      </c>
      <c r="Q48" s="1224">
        <f t="shared" si="3"/>
        <v>32.833000000000006</v>
      </c>
      <c r="R48" s="1225">
        <f t="shared" si="3"/>
        <v>24.247</v>
      </c>
    </row>
    <row r="49" spans="2:18" x14ac:dyDescent="0.25">
      <c r="B49" s="1881" t="s">
        <v>823</v>
      </c>
      <c r="C49" s="1882">
        <f t="shared" ref="C49:J49" si="10">C42+C33+C25</f>
        <v>6929.2290000000003</v>
      </c>
      <c r="D49" s="1882">
        <f t="shared" si="10"/>
        <v>6426.6580000000004</v>
      </c>
      <c r="E49" s="1882">
        <f t="shared" si="10"/>
        <v>7321.759</v>
      </c>
      <c r="F49" s="1882">
        <f t="shared" si="10"/>
        <v>9197.7530000000006</v>
      </c>
      <c r="G49" s="1882">
        <f t="shared" si="10"/>
        <v>10228.153</v>
      </c>
      <c r="H49" s="1882">
        <f t="shared" si="10"/>
        <v>11410.916000000001</v>
      </c>
      <c r="I49" s="1882">
        <f t="shared" si="10"/>
        <v>12395.005000000001</v>
      </c>
      <c r="J49" s="1883">
        <f t="shared" si="10"/>
        <v>13738.507999999998</v>
      </c>
      <c r="K49" s="7"/>
      <c r="L49" s="1186">
        <f t="shared" si="3"/>
        <v>502.57099999999991</v>
      </c>
      <c r="M49" s="1186">
        <f t="shared" si="3"/>
        <v>-895.10099999999966</v>
      </c>
      <c r="N49" s="1186">
        <f t="shared" si="3"/>
        <v>-1875.9940000000006</v>
      </c>
      <c r="O49" s="1186">
        <f t="shared" si="3"/>
        <v>-1030.3999999999996</v>
      </c>
      <c r="P49" s="1186">
        <f t="shared" si="3"/>
        <v>-1182.7630000000008</v>
      </c>
      <c r="Q49" s="1186">
        <f t="shared" si="3"/>
        <v>-984.08899999999994</v>
      </c>
      <c r="R49" s="1186">
        <f t="shared" si="3"/>
        <v>-1343.502999999997</v>
      </c>
    </row>
    <row r="52" spans="2:18" ht="21" x14ac:dyDescent="0.45">
      <c r="B52" s="2062" t="s">
        <v>985</v>
      </c>
      <c r="C52" s="2059" t="s">
        <v>942</v>
      </c>
      <c r="D52" s="2059"/>
      <c r="E52" s="2059"/>
      <c r="F52" s="2059"/>
      <c r="G52" s="2059"/>
      <c r="H52" s="2059"/>
      <c r="I52" s="2059"/>
      <c r="J52" s="2059"/>
    </row>
    <row r="53" spans="2:18" x14ac:dyDescent="0.25">
      <c r="B53" s="2112"/>
      <c r="C53" s="1855" t="str">
        <f t="shared" ref="C53:J53" si="11">+C3</f>
        <v>2008/12</v>
      </c>
      <c r="D53" s="1855" t="str">
        <f t="shared" si="11"/>
        <v>2009/12</v>
      </c>
      <c r="E53" s="1855" t="str">
        <f t="shared" si="11"/>
        <v>2010/12</v>
      </c>
      <c r="F53" s="1855" t="str">
        <f t="shared" si="11"/>
        <v>2011/12</v>
      </c>
      <c r="G53" s="1855" t="str">
        <f t="shared" si="11"/>
        <v>2012/12</v>
      </c>
      <c r="H53" s="1855" t="str">
        <f t="shared" si="11"/>
        <v>2013/12</v>
      </c>
      <c r="I53" s="1855" t="str">
        <f t="shared" si="11"/>
        <v>2014/12</v>
      </c>
      <c r="J53" s="1855" t="str">
        <f t="shared" si="11"/>
        <v>2015/12</v>
      </c>
    </row>
    <row r="54" spans="2:18" ht="18.75" x14ac:dyDescent="0.3">
      <c r="B54" s="1892" t="s">
        <v>1402</v>
      </c>
      <c r="C54" s="1893"/>
      <c r="D54" s="1893"/>
      <c r="E54" s="1893"/>
      <c r="F54" s="1893"/>
      <c r="G54" s="1893"/>
      <c r="H54" s="1893"/>
      <c r="I54" s="1893"/>
      <c r="J54" s="1893"/>
    </row>
    <row r="55" spans="2:18" s="122" customFormat="1" ht="15.75" x14ac:dyDescent="0.25">
      <c r="B55" s="122" t="s">
        <v>71</v>
      </c>
      <c r="C55" s="890"/>
      <c r="D55" s="1856">
        <f>+D46</f>
        <v>485.41</v>
      </c>
      <c r="E55" s="1856">
        <f t="shared" ref="E55:J55" si="12">+E46</f>
        <v>517.09299999999996</v>
      </c>
      <c r="F55" s="1856">
        <f t="shared" si="12"/>
        <v>506.50599999999997</v>
      </c>
      <c r="G55" s="1856">
        <f t="shared" si="12"/>
        <v>524.76400000000001</v>
      </c>
      <c r="H55" s="1856">
        <f t="shared" si="12"/>
        <v>597.84500000000003</v>
      </c>
      <c r="I55" s="1856">
        <f t="shared" si="12"/>
        <v>617.08399999999995</v>
      </c>
      <c r="J55" s="1856">
        <f t="shared" si="12"/>
        <v>891.14099999999996</v>
      </c>
    </row>
    <row r="56" spans="2:18" s="122" customFormat="1" ht="15.75" x14ac:dyDescent="0.25">
      <c r="B56" s="122" t="s">
        <v>986</v>
      </c>
      <c r="C56" s="890"/>
      <c r="D56" s="1857">
        <f>+UFRS!D228/1000000</f>
        <v>181.553</v>
      </c>
      <c r="E56" s="1856">
        <f>+UFRS!E228/1000000</f>
        <v>192.53800000000001</v>
      </c>
      <c r="F56" s="1856">
        <f>+UFRS!F228/1000000</f>
        <v>217.834</v>
      </c>
      <c r="G56" s="1856">
        <f>+UFRS!G228/1000000</f>
        <v>260.78800000000001</v>
      </c>
      <c r="H56" s="1856">
        <f>+UFRS!H228/1000000</f>
        <v>302.18099999999998</v>
      </c>
      <c r="I56" s="1856">
        <f>+UFRS!I228/1000000</f>
        <v>346.29300000000001</v>
      </c>
      <c r="J56" s="1856">
        <f>+UFRS!J228/1000000</f>
        <v>369.82299999999998</v>
      </c>
    </row>
    <row r="57" spans="2:18" s="122" customFormat="1" ht="19.5" thickBot="1" x14ac:dyDescent="0.35">
      <c r="B57" s="1852" t="s">
        <v>1401</v>
      </c>
      <c r="C57" s="1853"/>
      <c r="D57" s="1854">
        <f>+D55+D56</f>
        <v>666.96299999999997</v>
      </c>
      <c r="E57" s="1854">
        <f t="shared" ref="E57:J57" si="13">+E55+E56</f>
        <v>709.63099999999997</v>
      </c>
      <c r="F57" s="1854">
        <f t="shared" si="13"/>
        <v>724.33999999999992</v>
      </c>
      <c r="G57" s="1854">
        <f t="shared" si="13"/>
        <v>785.55200000000002</v>
      </c>
      <c r="H57" s="1854">
        <f t="shared" si="13"/>
        <v>900.02600000000007</v>
      </c>
      <c r="I57" s="1854">
        <f t="shared" si="13"/>
        <v>963.37699999999995</v>
      </c>
      <c r="J57" s="1854">
        <f t="shared" si="13"/>
        <v>1260.9639999999999</v>
      </c>
    </row>
    <row r="58" spans="2:18" x14ac:dyDescent="0.25">
      <c r="C58" s="6"/>
      <c r="D58" s="107"/>
      <c r="E58" s="98"/>
      <c r="F58" s="98"/>
      <c r="G58" s="98"/>
      <c r="H58" s="98"/>
      <c r="I58" s="98"/>
      <c r="J58" s="98"/>
    </row>
    <row r="59" spans="2:18" s="526" customFormat="1" ht="19.5" thickBot="1" x14ac:dyDescent="0.35">
      <c r="B59" s="1858" t="s">
        <v>1364</v>
      </c>
      <c r="C59" s="1859"/>
      <c r="D59" s="1860"/>
      <c r="E59" s="1860"/>
      <c r="F59" s="1860"/>
      <c r="G59" s="1860"/>
      <c r="H59" s="1860"/>
      <c r="I59" s="1860"/>
      <c r="J59" s="1860"/>
    </row>
    <row r="60" spans="2:18" s="122" customFormat="1" ht="15.75" x14ac:dyDescent="0.25">
      <c r="B60" s="122" t="s">
        <v>44</v>
      </c>
      <c r="C60" s="890"/>
      <c r="D60" s="1856">
        <f t="shared" ref="D60:J65" si="14">+L7</f>
        <v>411.91600000000017</v>
      </c>
      <c r="E60" s="1856">
        <f t="shared" si="14"/>
        <v>-91.567000000000007</v>
      </c>
      <c r="F60" s="1856">
        <f t="shared" si="14"/>
        <v>-856.29199999999992</v>
      </c>
      <c r="G60" s="1856">
        <f t="shared" si="14"/>
        <v>-80.606999999999971</v>
      </c>
      <c r="H60" s="1856">
        <f t="shared" si="14"/>
        <v>-920.66300000000047</v>
      </c>
      <c r="I60" s="1856">
        <f t="shared" si="14"/>
        <v>-251.75799999999981</v>
      </c>
      <c r="J60" s="1856">
        <f t="shared" si="14"/>
        <v>-356.6269999999995</v>
      </c>
    </row>
    <row r="61" spans="2:18" s="122" customFormat="1" ht="15.75" x14ac:dyDescent="0.25">
      <c r="B61" s="122" t="s">
        <v>93</v>
      </c>
      <c r="C61" s="890"/>
      <c r="D61" s="1856">
        <f t="shared" si="14"/>
        <v>0</v>
      </c>
      <c r="E61" s="1856">
        <f t="shared" si="14"/>
        <v>0</v>
      </c>
      <c r="F61" s="1856">
        <f t="shared" si="14"/>
        <v>0</v>
      </c>
      <c r="G61" s="1856">
        <f t="shared" si="14"/>
        <v>0</v>
      </c>
      <c r="H61" s="1856">
        <f t="shared" si="14"/>
        <v>0</v>
      </c>
      <c r="I61" s="1856">
        <f t="shared" si="14"/>
        <v>0</v>
      </c>
      <c r="J61" s="1856">
        <f t="shared" si="14"/>
        <v>0</v>
      </c>
    </row>
    <row r="62" spans="2:18" s="122" customFormat="1" ht="15.75" x14ac:dyDescent="0.25">
      <c r="B62" s="122" t="s">
        <v>4</v>
      </c>
      <c r="C62" s="890"/>
      <c r="D62" s="1856">
        <f t="shared" si="14"/>
        <v>397.1450000000001</v>
      </c>
      <c r="E62" s="1856">
        <f t="shared" si="14"/>
        <v>-80.740000000000009</v>
      </c>
      <c r="F62" s="1856">
        <f t="shared" si="14"/>
        <v>-542.61500000000012</v>
      </c>
      <c r="G62" s="1856">
        <f t="shared" si="14"/>
        <v>-69.516999999999825</v>
      </c>
      <c r="H62" s="1856">
        <f t="shared" si="14"/>
        <v>-388.71500000000015</v>
      </c>
      <c r="I62" s="1856">
        <f t="shared" si="14"/>
        <v>-136.57299999999987</v>
      </c>
      <c r="J62" s="1856">
        <f t="shared" si="14"/>
        <v>-15.110999999999876</v>
      </c>
    </row>
    <row r="63" spans="2:18" s="122" customFormat="1" ht="15.75" x14ac:dyDescent="0.25">
      <c r="B63" s="122" t="s">
        <v>871</v>
      </c>
      <c r="C63" s="890"/>
      <c r="D63" s="1856">
        <f t="shared" si="14"/>
        <v>0</v>
      </c>
      <c r="E63" s="1856">
        <f t="shared" si="14"/>
        <v>0</v>
      </c>
      <c r="F63" s="1856">
        <f t="shared" si="14"/>
        <v>0</v>
      </c>
      <c r="G63" s="1856">
        <f t="shared" si="14"/>
        <v>0</v>
      </c>
      <c r="H63" s="1856">
        <f t="shared" si="14"/>
        <v>0</v>
      </c>
      <c r="I63" s="1856">
        <f t="shared" si="14"/>
        <v>0</v>
      </c>
      <c r="J63" s="1856">
        <f t="shared" si="14"/>
        <v>0</v>
      </c>
    </row>
    <row r="64" spans="2:18" s="122" customFormat="1" ht="15.75" x14ac:dyDescent="0.25">
      <c r="B64" s="122" t="s">
        <v>780</v>
      </c>
      <c r="C64" s="890"/>
      <c r="D64" s="1856">
        <f t="shared" si="14"/>
        <v>0</v>
      </c>
      <c r="E64" s="1856">
        <f t="shared" si="14"/>
        <v>0</v>
      </c>
      <c r="F64" s="1856">
        <f t="shared" si="14"/>
        <v>0</v>
      </c>
      <c r="G64" s="1856">
        <f t="shared" si="14"/>
        <v>0</v>
      </c>
      <c r="H64" s="1856">
        <f t="shared" si="14"/>
        <v>0</v>
      </c>
      <c r="I64" s="1856">
        <f t="shared" si="14"/>
        <v>0</v>
      </c>
      <c r="J64" s="1856">
        <f t="shared" si="14"/>
        <v>0</v>
      </c>
    </row>
    <row r="65" spans="2:10" s="122" customFormat="1" ht="15.75" x14ac:dyDescent="0.25">
      <c r="B65" s="122" t="s">
        <v>94</v>
      </c>
      <c r="C65" s="890"/>
      <c r="D65" s="1856">
        <f t="shared" si="14"/>
        <v>-5.8080000000004475</v>
      </c>
      <c r="E65" s="1856">
        <f t="shared" si="14"/>
        <v>-9.0040000000003602</v>
      </c>
      <c r="F65" s="1856">
        <f t="shared" si="14"/>
        <v>-28.032999999999447</v>
      </c>
      <c r="G65" s="1856">
        <f t="shared" si="14"/>
        <v>11.26299999999901</v>
      </c>
      <c r="H65" s="1856">
        <f t="shared" si="14"/>
        <v>-87.27599999999984</v>
      </c>
      <c r="I65" s="1856">
        <f t="shared" si="14"/>
        <v>-69.661999999998443</v>
      </c>
      <c r="J65" s="1856">
        <f t="shared" si="14"/>
        <v>-16.351000000002387</v>
      </c>
    </row>
    <row r="66" spans="2:10" s="122" customFormat="1" ht="15.75" x14ac:dyDescent="0.25">
      <c r="C66" s="890"/>
      <c r="D66" s="1856"/>
      <c r="E66" s="1856"/>
      <c r="F66" s="1856"/>
      <c r="G66" s="1856"/>
      <c r="H66" s="1856"/>
      <c r="I66" s="1856"/>
      <c r="J66" s="1856"/>
    </row>
    <row r="67" spans="2:10" s="122" customFormat="1" ht="15.75" x14ac:dyDescent="0.25">
      <c r="B67" s="122" t="s">
        <v>11</v>
      </c>
      <c r="C67" s="890"/>
      <c r="D67" s="1856">
        <f t="shared" ref="D67:J72" si="15">-L27</f>
        <v>57.075000000000045</v>
      </c>
      <c r="E67" s="1856">
        <f t="shared" si="15"/>
        <v>206.55999999999995</v>
      </c>
      <c r="F67" s="1856">
        <f t="shared" si="15"/>
        <v>280.56899999999996</v>
      </c>
      <c r="G67" s="1856">
        <f t="shared" si="15"/>
        <v>-73.726999999999862</v>
      </c>
      <c r="H67" s="1856">
        <f t="shared" si="15"/>
        <v>469.096</v>
      </c>
      <c r="I67" s="1856">
        <f t="shared" si="15"/>
        <v>136.54199999999992</v>
      </c>
      <c r="J67" s="1856">
        <f t="shared" si="15"/>
        <v>308.95199999999977</v>
      </c>
    </row>
    <row r="68" spans="2:10" s="122" customFormat="1" ht="15.75" x14ac:dyDescent="0.25">
      <c r="B68" s="122" t="s">
        <v>99</v>
      </c>
      <c r="C68" s="890"/>
      <c r="D68" s="1856">
        <f t="shared" si="15"/>
        <v>20.698000000000008</v>
      </c>
      <c r="E68" s="1856">
        <f t="shared" si="15"/>
        <v>24.997</v>
      </c>
      <c r="F68" s="1856">
        <f t="shared" si="15"/>
        <v>54.161000000000001</v>
      </c>
      <c r="G68" s="1856">
        <f t="shared" si="15"/>
        <v>-18.706999999999994</v>
      </c>
      <c r="H68" s="1856">
        <f t="shared" si="15"/>
        <v>-59.598000000000013</v>
      </c>
      <c r="I68" s="1856">
        <f t="shared" si="15"/>
        <v>19.532000000000011</v>
      </c>
      <c r="J68" s="1856">
        <f t="shared" si="15"/>
        <v>43.600999999999999</v>
      </c>
    </row>
    <row r="69" spans="2:10" s="122" customFormat="1" ht="15.75" x14ac:dyDescent="0.25">
      <c r="B69" s="122" t="s">
        <v>705</v>
      </c>
      <c r="C69" s="890"/>
      <c r="D69" s="1856">
        <f t="shared" si="15"/>
        <v>0</v>
      </c>
      <c r="E69" s="1856">
        <f t="shared" si="15"/>
        <v>0</v>
      </c>
      <c r="F69" s="1856">
        <f t="shared" si="15"/>
        <v>0</v>
      </c>
      <c r="G69" s="1856">
        <f t="shared" si="15"/>
        <v>0</v>
      </c>
      <c r="H69" s="1856">
        <f t="shared" si="15"/>
        <v>0</v>
      </c>
      <c r="I69" s="1856">
        <f t="shared" si="15"/>
        <v>0</v>
      </c>
      <c r="J69" s="1856">
        <f t="shared" si="15"/>
        <v>0</v>
      </c>
    </row>
    <row r="70" spans="2:10" s="122" customFormat="1" ht="15.75" x14ac:dyDescent="0.25">
      <c r="B70" s="122" t="s">
        <v>819</v>
      </c>
      <c r="C70" s="890"/>
      <c r="D70" s="1856">
        <f t="shared" si="15"/>
        <v>6.3649999999999807</v>
      </c>
      <c r="E70" s="1856">
        <f t="shared" si="15"/>
        <v>0.50100000000000477</v>
      </c>
      <c r="F70" s="1856">
        <f t="shared" si="15"/>
        <v>27.22999999999999</v>
      </c>
      <c r="G70" s="1856">
        <f t="shared" si="15"/>
        <v>0.98700000000002319</v>
      </c>
      <c r="H70" s="1856">
        <f t="shared" si="15"/>
        <v>25.170999999999992</v>
      </c>
      <c r="I70" s="1856">
        <f t="shared" si="15"/>
        <v>5.4440000000000168</v>
      </c>
      <c r="J70" s="1856">
        <f t="shared" si="15"/>
        <v>70.543999999999983</v>
      </c>
    </row>
    <row r="71" spans="2:10" s="122" customFormat="1" ht="15.75" x14ac:dyDescent="0.25">
      <c r="B71" s="122" t="s">
        <v>913</v>
      </c>
      <c r="C71" s="890"/>
      <c r="D71" s="1856">
        <f t="shared" si="15"/>
        <v>0</v>
      </c>
      <c r="E71" s="1856">
        <f t="shared" si="15"/>
        <v>0</v>
      </c>
      <c r="F71" s="1856">
        <f t="shared" si="15"/>
        <v>0</v>
      </c>
      <c r="G71" s="1856">
        <f t="shared" si="15"/>
        <v>0</v>
      </c>
      <c r="H71" s="1856">
        <f t="shared" si="15"/>
        <v>0</v>
      </c>
      <c r="I71" s="1856">
        <f t="shared" si="15"/>
        <v>0</v>
      </c>
      <c r="J71" s="1856">
        <f t="shared" si="15"/>
        <v>0</v>
      </c>
    </row>
    <row r="72" spans="2:10" s="122" customFormat="1" ht="15.75" x14ac:dyDescent="0.25">
      <c r="B72" s="122" t="s">
        <v>102</v>
      </c>
      <c r="C72" s="890"/>
      <c r="D72" s="1856">
        <f t="shared" si="15"/>
        <v>30.081999999999425</v>
      </c>
      <c r="E72" s="1856">
        <f t="shared" si="15"/>
        <v>15.234000000000378</v>
      </c>
      <c r="F72" s="1856">
        <f t="shared" si="15"/>
        <v>36.992000000000189</v>
      </c>
      <c r="G72" s="1856">
        <f t="shared" si="15"/>
        <v>-8.3589999999999236</v>
      </c>
      <c r="H72" s="1856">
        <f t="shared" si="15"/>
        <v>166.92199999999957</v>
      </c>
      <c r="I72" s="1856">
        <f t="shared" si="15"/>
        <v>59.583999999999378</v>
      </c>
      <c r="J72" s="1856">
        <f t="shared" si="15"/>
        <v>0.82600000000047658</v>
      </c>
    </row>
    <row r="73" spans="2:10" ht="19.5" thickBot="1" x14ac:dyDescent="0.35">
      <c r="B73" s="1852" t="s">
        <v>1365</v>
      </c>
      <c r="C73" s="1853"/>
      <c r="D73" s="1854">
        <f>+SUM(D60:D72)</f>
        <v>917.47299999999927</v>
      </c>
      <c r="E73" s="1854">
        <f t="shared" ref="E73:J73" si="16">+SUM(E60:E72)</f>
        <v>65.980999999999952</v>
      </c>
      <c r="F73" s="1854">
        <f t="shared" si="16"/>
        <v>-1027.9879999999994</v>
      </c>
      <c r="G73" s="1854">
        <f t="shared" si="16"/>
        <v>-238.66700000000054</v>
      </c>
      <c r="H73" s="1854">
        <f t="shared" si="16"/>
        <v>-795.06300000000078</v>
      </c>
      <c r="I73" s="1854">
        <f t="shared" si="16"/>
        <v>-236.89099999999877</v>
      </c>
      <c r="J73" s="1854">
        <f t="shared" si="16"/>
        <v>35.833999999998468</v>
      </c>
    </row>
    <row r="74" spans="2:10" x14ac:dyDescent="0.25">
      <c r="E74" s="1591"/>
      <c r="F74" s="1591"/>
      <c r="G74" s="1591"/>
      <c r="H74" s="1591"/>
      <c r="I74" s="1591"/>
      <c r="J74" s="1591"/>
    </row>
    <row r="75" spans="2:10" s="526" customFormat="1" ht="19.5" thickBot="1" x14ac:dyDescent="0.35">
      <c r="B75" s="1858" t="s">
        <v>1366</v>
      </c>
      <c r="C75" s="1859"/>
      <c r="D75" s="1860"/>
      <c r="E75" s="1860"/>
      <c r="F75" s="1860"/>
      <c r="G75" s="1860"/>
      <c r="H75" s="1860"/>
      <c r="I75" s="1860"/>
      <c r="J75" s="1860"/>
    </row>
    <row r="76" spans="2:10" s="122" customFormat="1" ht="15.75" x14ac:dyDescent="0.25">
      <c r="B76" s="122" t="s">
        <v>6</v>
      </c>
      <c r="D76" s="1633">
        <f>+L14</f>
        <v>4.8060000000000009</v>
      </c>
      <c r="E76" s="1633">
        <f t="shared" ref="E76:J76" si="17">+M14</f>
        <v>-8.2070000000000007</v>
      </c>
      <c r="F76" s="1633">
        <f t="shared" si="17"/>
        <v>-3.5570000000000004</v>
      </c>
      <c r="G76" s="1633">
        <f t="shared" si="17"/>
        <v>5.0490000000000013</v>
      </c>
      <c r="H76" s="1633">
        <f t="shared" si="17"/>
        <v>-16.487000000000002</v>
      </c>
      <c r="I76" s="1633">
        <f t="shared" si="17"/>
        <v>3.0330000000000013</v>
      </c>
      <c r="J76" s="1633">
        <f t="shared" si="17"/>
        <v>11.217999999999998</v>
      </c>
    </row>
    <row r="77" spans="2:10" s="122" customFormat="1" ht="15.75" x14ac:dyDescent="0.25">
      <c r="B77" s="122" t="s">
        <v>95</v>
      </c>
      <c r="D77" s="1633">
        <f>+L15</f>
        <v>0</v>
      </c>
      <c r="E77" s="1633">
        <f t="shared" ref="E77:J77" si="18">+M15</f>
        <v>0</v>
      </c>
      <c r="F77" s="1633">
        <f t="shared" si="18"/>
        <v>0</v>
      </c>
      <c r="G77" s="1633">
        <f t="shared" si="18"/>
        <v>0</v>
      </c>
      <c r="H77" s="1633">
        <f t="shared" si="18"/>
        <v>0</v>
      </c>
      <c r="I77" s="1633">
        <f t="shared" si="18"/>
        <v>0</v>
      </c>
      <c r="J77" s="1633">
        <f t="shared" si="18"/>
        <v>0</v>
      </c>
    </row>
    <row r="78" spans="2:10" s="122" customFormat="1" ht="15.75" x14ac:dyDescent="0.25">
      <c r="B78" s="122" t="s">
        <v>871</v>
      </c>
      <c r="D78" s="1633">
        <f>+L20</f>
        <v>0</v>
      </c>
      <c r="E78" s="1633">
        <f t="shared" ref="E78:J78" si="19">+M20</f>
        <v>0</v>
      </c>
      <c r="F78" s="1633">
        <f t="shared" si="19"/>
        <v>0</v>
      </c>
      <c r="G78" s="1633">
        <f t="shared" si="19"/>
        <v>0</v>
      </c>
      <c r="H78" s="1633">
        <f t="shared" si="19"/>
        <v>0</v>
      </c>
      <c r="I78" s="1633">
        <f t="shared" si="19"/>
        <v>0</v>
      </c>
      <c r="J78" s="1633">
        <f t="shared" si="19"/>
        <v>0</v>
      </c>
    </row>
    <row r="79" spans="2:10" s="122" customFormat="1" ht="15.75" x14ac:dyDescent="0.25">
      <c r="B79" s="122" t="s">
        <v>780</v>
      </c>
      <c r="D79" s="1633">
        <f>+L21</f>
        <v>24.369</v>
      </c>
      <c r="E79" s="1633">
        <f t="shared" ref="E79:J79" si="20">+M21</f>
        <v>2.2650000000000006</v>
      </c>
      <c r="F79" s="1633">
        <f t="shared" si="20"/>
        <v>-24.143000000000001</v>
      </c>
      <c r="G79" s="1633">
        <f t="shared" si="20"/>
        <v>-22.581000000000003</v>
      </c>
      <c r="H79" s="1633">
        <f t="shared" si="20"/>
        <v>-4.6910000000000025</v>
      </c>
      <c r="I79" s="1633">
        <f t="shared" si="20"/>
        <v>13.306000000000012</v>
      </c>
      <c r="J79" s="1633">
        <f t="shared" si="20"/>
        <v>-121.294</v>
      </c>
    </row>
    <row r="80" spans="2:10" s="122" customFormat="1" ht="15.75" x14ac:dyDescent="0.25">
      <c r="B80" s="122" t="s">
        <v>97</v>
      </c>
      <c r="D80" s="1633">
        <f>+L22</f>
        <v>0</v>
      </c>
      <c r="E80" s="1633">
        <f t="shared" ref="E80:J80" si="21">+M22</f>
        <v>0</v>
      </c>
      <c r="F80" s="1633">
        <f t="shared" si="21"/>
        <v>0</v>
      </c>
      <c r="G80" s="1633">
        <f t="shared" si="21"/>
        <v>0</v>
      </c>
      <c r="H80" s="1633">
        <f t="shared" si="21"/>
        <v>0</v>
      </c>
      <c r="I80" s="1633">
        <f t="shared" si="21"/>
        <v>-17.803000000000338</v>
      </c>
      <c r="J80" s="1633">
        <f t="shared" si="21"/>
        <v>-126.93899999999985</v>
      </c>
    </row>
    <row r="81" spans="2:10" s="122" customFormat="1" ht="15.75" x14ac:dyDescent="0.25">
      <c r="E81" s="1633"/>
      <c r="F81" s="1633"/>
      <c r="G81" s="1633"/>
      <c r="H81" s="1633"/>
      <c r="I81" s="1633"/>
      <c r="J81" s="1633"/>
    </row>
    <row r="82" spans="2:10" s="122" customFormat="1" ht="15.75" x14ac:dyDescent="0.25">
      <c r="B82" s="122" t="s">
        <v>11</v>
      </c>
      <c r="D82" s="1633">
        <f t="shared" ref="D82:J88" si="22">-L35</f>
        <v>-5.5750000000000028</v>
      </c>
      <c r="E82" s="1633">
        <f t="shared" si="22"/>
        <v>-3.6989999999999981</v>
      </c>
      <c r="F82" s="1633">
        <f t="shared" si="22"/>
        <v>6.8580000000000041</v>
      </c>
      <c r="G82" s="1633">
        <f t="shared" si="22"/>
        <v>-10.999000000000002</v>
      </c>
      <c r="H82" s="1633">
        <f t="shared" si="22"/>
        <v>-59.54</v>
      </c>
      <c r="I82" s="1633">
        <f t="shared" si="22"/>
        <v>0</v>
      </c>
      <c r="J82" s="1633">
        <f t="shared" si="22"/>
        <v>0</v>
      </c>
    </row>
    <row r="83" spans="2:10" s="122" customFormat="1" ht="15.75" x14ac:dyDescent="0.25">
      <c r="B83" s="122" t="s">
        <v>99</v>
      </c>
      <c r="D83" s="1633">
        <f t="shared" si="22"/>
        <v>0</v>
      </c>
      <c r="E83" s="1633">
        <f t="shared" si="22"/>
        <v>0</v>
      </c>
      <c r="F83" s="1633">
        <f t="shared" si="22"/>
        <v>0</v>
      </c>
      <c r="G83" s="1633">
        <f t="shared" si="22"/>
        <v>0</v>
      </c>
      <c r="H83" s="1633">
        <f t="shared" si="22"/>
        <v>62.427</v>
      </c>
      <c r="I83" s="1633">
        <f t="shared" si="22"/>
        <v>-4.6039999999999992</v>
      </c>
      <c r="J83" s="1633">
        <f t="shared" si="22"/>
        <v>2.8509999999999991</v>
      </c>
    </row>
    <row r="84" spans="2:10" s="122" customFormat="1" ht="15.75" x14ac:dyDescent="0.25">
      <c r="B84" s="122" t="s">
        <v>705</v>
      </c>
      <c r="D84" s="1633">
        <f t="shared" si="22"/>
        <v>0</v>
      </c>
      <c r="E84" s="1633">
        <f t="shared" si="22"/>
        <v>0</v>
      </c>
      <c r="F84" s="1633">
        <f t="shared" si="22"/>
        <v>0</v>
      </c>
      <c r="G84" s="1633">
        <f t="shared" si="22"/>
        <v>0</v>
      </c>
      <c r="H84" s="1633">
        <f t="shared" si="22"/>
        <v>0</v>
      </c>
      <c r="I84" s="1633">
        <f t="shared" si="22"/>
        <v>0</v>
      </c>
      <c r="J84" s="1633">
        <f t="shared" si="22"/>
        <v>0</v>
      </c>
    </row>
    <row r="85" spans="2:10" s="122" customFormat="1" ht="15.75" x14ac:dyDescent="0.25">
      <c r="B85" s="122" t="s">
        <v>820</v>
      </c>
      <c r="D85" s="1633">
        <f t="shared" si="22"/>
        <v>32.682000000000002</v>
      </c>
      <c r="E85" s="1633">
        <f t="shared" si="22"/>
        <v>11.740000000000009</v>
      </c>
      <c r="F85" s="1633">
        <f t="shared" si="22"/>
        <v>30.464999999999975</v>
      </c>
      <c r="G85" s="1633">
        <f t="shared" si="22"/>
        <v>6.1009999999999991</v>
      </c>
      <c r="H85" s="1633">
        <f t="shared" si="22"/>
        <v>26.466000000000008</v>
      </c>
      <c r="I85" s="1633">
        <f t="shared" si="22"/>
        <v>47.802999999999997</v>
      </c>
      <c r="J85" s="1633">
        <f t="shared" si="22"/>
        <v>49.850999999999999</v>
      </c>
    </row>
    <row r="86" spans="2:10" s="122" customFormat="1" ht="15.75" x14ac:dyDescent="0.25">
      <c r="B86" s="122" t="s">
        <v>103</v>
      </c>
      <c r="D86" s="1633">
        <f t="shared" si="22"/>
        <v>-5.8999999999999995</v>
      </c>
      <c r="E86" s="1633">
        <f t="shared" si="22"/>
        <v>-2.6030000000000002</v>
      </c>
      <c r="F86" s="1633">
        <f t="shared" si="22"/>
        <v>-1.625</v>
      </c>
      <c r="G86" s="1633">
        <f t="shared" si="22"/>
        <v>-0.56800000000000006</v>
      </c>
      <c r="H86" s="1633">
        <f t="shared" si="22"/>
        <v>18.162999999999997</v>
      </c>
      <c r="I86" s="1633">
        <f t="shared" si="22"/>
        <v>8.7340000000000018</v>
      </c>
      <c r="J86" s="1633">
        <f t="shared" si="22"/>
        <v>3.399999999999892E-2</v>
      </c>
    </row>
    <row r="87" spans="2:10" s="122" customFormat="1" ht="15.75" x14ac:dyDescent="0.25">
      <c r="B87" s="122" t="s">
        <v>984</v>
      </c>
      <c r="D87" s="1633">
        <f t="shared" si="22"/>
        <v>3.7299999999999898</v>
      </c>
      <c r="E87" s="1633">
        <f t="shared" si="22"/>
        <v>33.348000000000013</v>
      </c>
      <c r="F87" s="1633">
        <f t="shared" si="22"/>
        <v>97.592999999999989</v>
      </c>
      <c r="G87" s="1633">
        <f t="shared" si="22"/>
        <v>10.26400000000001</v>
      </c>
      <c r="H87" s="1633">
        <f t="shared" si="22"/>
        <v>9.1089999999999804</v>
      </c>
      <c r="I87" s="1633">
        <f t="shared" si="22"/>
        <v>-9.2999999999989313E-2</v>
      </c>
      <c r="J87" s="1633">
        <f t="shared" si="22"/>
        <v>-95.787000000000006</v>
      </c>
    </row>
    <row r="88" spans="2:10" s="122" customFormat="1" ht="15.75" x14ac:dyDescent="0.25">
      <c r="B88" s="122" t="s">
        <v>103</v>
      </c>
      <c r="D88" s="1633">
        <f t="shared" si="22"/>
        <v>0</v>
      </c>
      <c r="E88" s="1633">
        <f t="shared" si="22"/>
        <v>0</v>
      </c>
      <c r="F88" s="1633">
        <f t="shared" si="22"/>
        <v>0</v>
      </c>
      <c r="G88" s="1633">
        <f t="shared" si="22"/>
        <v>0</v>
      </c>
      <c r="H88" s="1633">
        <f t="shared" si="22"/>
        <v>51.179999999999836</v>
      </c>
      <c r="I88" s="1633">
        <f t="shared" si="22"/>
        <v>-51.179999999999836</v>
      </c>
      <c r="J88" s="1633">
        <f t="shared" si="22"/>
        <v>0</v>
      </c>
    </row>
    <row r="89" spans="2:10" ht="19.5" thickBot="1" x14ac:dyDescent="0.35">
      <c r="B89" s="1852" t="s">
        <v>1367</v>
      </c>
      <c r="C89" s="1853"/>
      <c r="D89" s="1854">
        <f>+SUM(D76:D88)</f>
        <v>54.111999999999988</v>
      </c>
      <c r="E89" s="1854">
        <f t="shared" ref="E89:J89" si="23">+SUM(E76:E88)</f>
        <v>32.844000000000023</v>
      </c>
      <c r="F89" s="1854">
        <f t="shared" si="23"/>
        <v>105.59099999999997</v>
      </c>
      <c r="G89" s="1854">
        <f t="shared" si="23"/>
        <v>-12.733999999999998</v>
      </c>
      <c r="H89" s="1854">
        <f t="shared" si="23"/>
        <v>86.626999999999811</v>
      </c>
      <c r="I89" s="1854">
        <f t="shared" si="23"/>
        <v>-0.80400000000015126</v>
      </c>
      <c r="J89" s="1854">
        <f t="shared" si="23"/>
        <v>-280.06599999999986</v>
      </c>
    </row>
    <row r="90" spans="2:10" x14ac:dyDescent="0.25">
      <c r="E90" s="1591"/>
      <c r="F90" s="1591"/>
      <c r="G90" s="1591"/>
      <c r="H90" s="1591"/>
      <c r="I90" s="1591"/>
      <c r="J90" s="1591"/>
    </row>
    <row r="91" spans="2:10" s="104" customFormat="1" ht="19.5" thickBot="1" x14ac:dyDescent="0.35">
      <c r="B91" s="1861" t="s">
        <v>1368</v>
      </c>
      <c r="C91" s="1862"/>
      <c r="D91" s="1863">
        <f>+D89+D73+D57</f>
        <v>1638.5479999999993</v>
      </c>
      <c r="E91" s="1863">
        <f t="shared" ref="E91:J91" si="24">+E89+E73+E57</f>
        <v>808.4559999999999</v>
      </c>
      <c r="F91" s="1863">
        <f t="shared" si="24"/>
        <v>-198.05699999999945</v>
      </c>
      <c r="G91" s="1863">
        <f t="shared" si="24"/>
        <v>534.1509999999995</v>
      </c>
      <c r="H91" s="1863">
        <f t="shared" si="24"/>
        <v>191.58999999999912</v>
      </c>
      <c r="I91" s="1863">
        <f t="shared" si="24"/>
        <v>725.68200000000104</v>
      </c>
      <c r="J91" s="1863">
        <f t="shared" si="24"/>
        <v>1016.7319999999986</v>
      </c>
    </row>
    <row r="92" spans="2:10" x14ac:dyDescent="0.25">
      <c r="E92" s="1591"/>
      <c r="F92" s="1591"/>
      <c r="G92" s="1591"/>
      <c r="H92" s="1591"/>
      <c r="I92" s="1591"/>
      <c r="J92" s="1591"/>
    </row>
    <row r="93" spans="2:10" s="526" customFormat="1" ht="19.5" thickBot="1" x14ac:dyDescent="0.35">
      <c r="B93" s="1858" t="s">
        <v>1373</v>
      </c>
      <c r="C93" s="1859"/>
      <c r="D93" s="1860"/>
      <c r="E93" s="1860"/>
      <c r="F93" s="1860"/>
      <c r="G93" s="1860"/>
      <c r="H93" s="1860"/>
      <c r="I93" s="1860"/>
      <c r="J93" s="1860"/>
    </row>
    <row r="94" spans="2:10" s="122" customFormat="1" ht="15.75" x14ac:dyDescent="0.25">
      <c r="B94" s="122" t="s">
        <v>1369</v>
      </c>
      <c r="D94" s="1633">
        <f>+(L18+L19)-D56-L45</f>
        <v>-200.32099999999991</v>
      </c>
      <c r="E94" s="1633">
        <f t="shared" ref="E94:J94" si="25">+(M18+M19)-E56-M45</f>
        <v>0.76100000000008095</v>
      </c>
      <c r="F94" s="1633">
        <f t="shared" si="25"/>
        <v>-788.23400000000026</v>
      </c>
      <c r="G94" s="1633">
        <f t="shared" si="25"/>
        <v>-352.20899999999995</v>
      </c>
      <c r="H94" s="1633">
        <f t="shared" si="25"/>
        <v>-611.54599999999982</v>
      </c>
      <c r="I94" s="1633">
        <f t="shared" si="25"/>
        <v>-335.58100000000024</v>
      </c>
      <c r="J94" s="1633">
        <f t="shared" si="25"/>
        <v>-689.28000000000009</v>
      </c>
    </row>
    <row r="95" spans="2:10" x14ac:dyDescent="0.25">
      <c r="B95" s="4" t="s">
        <v>1370</v>
      </c>
      <c r="D95" s="1591">
        <f>+L16</f>
        <v>144.50599999999997</v>
      </c>
      <c r="E95" s="1591">
        <f t="shared" ref="E95:J95" si="26">+M16</f>
        <v>-269.43600000000004</v>
      </c>
      <c r="F95" s="1591">
        <f t="shared" si="26"/>
        <v>142.36599999999999</v>
      </c>
      <c r="G95" s="1591">
        <f t="shared" si="26"/>
        <v>-168.0569999999999</v>
      </c>
      <c r="H95" s="1591">
        <f t="shared" si="26"/>
        <v>88.533999999999992</v>
      </c>
      <c r="I95" s="1591">
        <f t="shared" si="26"/>
        <v>-161.80799999999999</v>
      </c>
      <c r="J95" s="1591">
        <f t="shared" si="26"/>
        <v>150.67099999999994</v>
      </c>
    </row>
    <row r="96" spans="2:10" x14ac:dyDescent="0.25">
      <c r="B96" s="4" t="s">
        <v>231</v>
      </c>
      <c r="D96" s="1591">
        <f>+L17</f>
        <v>2.7440000000000007</v>
      </c>
      <c r="E96" s="1591">
        <f t="shared" ref="E96:J96" si="27">+M17</f>
        <v>0.32099999999999973</v>
      </c>
      <c r="F96" s="1591">
        <f t="shared" si="27"/>
        <v>-188.977</v>
      </c>
      <c r="G96" s="1591">
        <f t="shared" si="27"/>
        <v>19.086999999999989</v>
      </c>
      <c r="H96" s="1591">
        <f t="shared" si="27"/>
        <v>177.08</v>
      </c>
      <c r="I96" s="1591">
        <f t="shared" si="27"/>
        <v>0</v>
      </c>
      <c r="J96" s="1591">
        <f t="shared" si="27"/>
        <v>0</v>
      </c>
    </row>
    <row r="97" spans="2:10" ht="19.5" thickBot="1" x14ac:dyDescent="0.35">
      <c r="B97" s="1852" t="s">
        <v>1372</v>
      </c>
      <c r="C97" s="1853"/>
      <c r="D97" s="1854">
        <f>+D95+D94+D96</f>
        <v>-53.070999999999941</v>
      </c>
      <c r="E97" s="1854">
        <f t="shared" ref="E97:J97" si="28">+E95+E94+E96</f>
        <v>-268.35399999999993</v>
      </c>
      <c r="F97" s="1854">
        <f t="shared" si="28"/>
        <v>-834.84500000000025</v>
      </c>
      <c r="G97" s="1854">
        <f t="shared" si="28"/>
        <v>-501.17899999999986</v>
      </c>
      <c r="H97" s="1854">
        <f t="shared" si="28"/>
        <v>-345.93199999999979</v>
      </c>
      <c r="I97" s="1854">
        <f t="shared" si="28"/>
        <v>-497.38900000000024</v>
      </c>
      <c r="J97" s="1854">
        <f t="shared" si="28"/>
        <v>-538.60900000000015</v>
      </c>
    </row>
    <row r="98" spans="2:10" x14ac:dyDescent="0.25">
      <c r="D98" s="1591"/>
      <c r="E98" s="1591"/>
      <c r="F98" s="1591"/>
      <c r="G98" s="1591"/>
      <c r="H98" s="1591"/>
      <c r="I98" s="1591"/>
      <c r="J98" s="1591"/>
    </row>
    <row r="99" spans="2:10" ht="19.5" thickBot="1" x14ac:dyDescent="0.35">
      <c r="B99" s="1852" t="s">
        <v>1371</v>
      </c>
      <c r="C99" s="1853"/>
      <c r="D99" s="1854">
        <f>+D97+D91</f>
        <v>1585.4769999999994</v>
      </c>
      <c r="E99" s="1854">
        <f t="shared" ref="E99:J99" si="29">+E97+E91</f>
        <v>540.10199999999998</v>
      </c>
      <c r="F99" s="1854">
        <f t="shared" si="29"/>
        <v>-1032.9019999999996</v>
      </c>
      <c r="G99" s="1854">
        <f t="shared" si="29"/>
        <v>32.971999999999639</v>
      </c>
      <c r="H99" s="1854">
        <f t="shared" si="29"/>
        <v>-154.34200000000067</v>
      </c>
      <c r="I99" s="1854">
        <f t="shared" si="29"/>
        <v>228.2930000000008</v>
      </c>
      <c r="J99" s="1854">
        <f t="shared" si="29"/>
        <v>478.12299999999846</v>
      </c>
    </row>
    <row r="100" spans="2:10" x14ac:dyDescent="0.25">
      <c r="E100" s="1591"/>
      <c r="F100" s="1591"/>
      <c r="G100" s="1591"/>
      <c r="H100" s="1591"/>
      <c r="I100" s="1591"/>
      <c r="J100" s="1591"/>
    </row>
    <row r="101" spans="2:10" s="526" customFormat="1" ht="19.5" thickBot="1" x14ac:dyDescent="0.35">
      <c r="B101" s="1858" t="s">
        <v>987</v>
      </c>
      <c r="C101" s="1859"/>
      <c r="D101" s="1860"/>
      <c r="E101" s="1860"/>
      <c r="F101" s="1860"/>
      <c r="G101" s="1860"/>
      <c r="H101" s="1860"/>
      <c r="I101" s="1860"/>
      <c r="J101" s="1860"/>
    </row>
    <row r="102" spans="2:10" x14ac:dyDescent="0.25">
      <c r="B102" s="4" t="s">
        <v>1374</v>
      </c>
      <c r="D102" s="1591">
        <f>-L26</f>
        <v>4.3869999999999436</v>
      </c>
      <c r="E102" s="1591">
        <f t="shared" ref="E102:J102" si="30">-M26</f>
        <v>-1084.9659999999999</v>
      </c>
      <c r="F102" s="1591">
        <f t="shared" si="30"/>
        <v>789.67899999999997</v>
      </c>
      <c r="G102" s="1591">
        <f t="shared" si="30"/>
        <v>518.94799999999987</v>
      </c>
      <c r="H102" s="1591">
        <f t="shared" si="30"/>
        <v>-460.20999999999981</v>
      </c>
      <c r="I102" s="1591">
        <f t="shared" si="30"/>
        <v>118.55799999999999</v>
      </c>
      <c r="J102" s="1591">
        <f t="shared" si="30"/>
        <v>381.57100000000014</v>
      </c>
    </row>
    <row r="103" spans="2:10" x14ac:dyDescent="0.25">
      <c r="B103" s="4" t="s">
        <v>1375</v>
      </c>
      <c r="D103" s="1591">
        <f>-L34</f>
        <v>-1388.289</v>
      </c>
      <c r="E103" s="1591">
        <f t="shared" ref="E103:J103" si="31">-M34</f>
        <v>1029.7579999999998</v>
      </c>
      <c r="F103" s="1591">
        <f t="shared" si="31"/>
        <v>310.16500000000019</v>
      </c>
      <c r="G103" s="1591">
        <f t="shared" si="31"/>
        <v>330.86599999999999</v>
      </c>
      <c r="H103" s="1591">
        <f t="shared" si="31"/>
        <v>722.05600000000004</v>
      </c>
      <c r="I103" s="1591">
        <f t="shared" si="31"/>
        <v>383.82699999999977</v>
      </c>
      <c r="J103" s="1591">
        <f t="shared" si="31"/>
        <v>303.92100000000028</v>
      </c>
    </row>
    <row r="104" spans="2:10" s="243" customFormat="1" x14ac:dyDescent="0.25">
      <c r="B104" s="243" t="s">
        <v>988</v>
      </c>
      <c r="D104" s="1870">
        <f>+Duz!E39</f>
        <v>275.76799999999997</v>
      </c>
      <c r="E104" s="1870">
        <f>+Duz!F39</f>
        <v>0</v>
      </c>
      <c r="F104" s="1870">
        <f>+Duz!G39</f>
        <v>0</v>
      </c>
      <c r="G104" s="1870">
        <f>+Duz!H39</f>
        <v>0</v>
      </c>
      <c r="H104" s="1870">
        <f>+Duz!I39</f>
        <v>0</v>
      </c>
      <c r="I104" s="1870">
        <f>+Duz!J39</f>
        <v>0</v>
      </c>
      <c r="J104" s="1870">
        <f>+Duz!K39</f>
        <v>0</v>
      </c>
    </row>
    <row r="105" spans="2:10" x14ac:dyDescent="0.25">
      <c r="B105" s="4" t="s">
        <v>1376</v>
      </c>
      <c r="D105" s="1591">
        <f>-Duz!E47</f>
        <v>10.092999999999961</v>
      </c>
      <c r="E105" s="1591">
        <f>-Duz!F47</f>
        <v>-98.520999999999958</v>
      </c>
      <c r="F105" s="1591">
        <f>-Duz!G47</f>
        <v>-248.33900000000017</v>
      </c>
      <c r="G105" s="1591">
        <f>-Duz!H47</f>
        <v>-298.35200000000009</v>
      </c>
      <c r="H105" s="1591">
        <f>-Duz!I47</f>
        <v>-572.04099999999994</v>
      </c>
      <c r="I105" s="1591">
        <f>-Duz!J47</f>
        <v>-343.19900000000007</v>
      </c>
      <c r="J105" s="1591">
        <f>-Duz!K47</f>
        <v>-592.96199999999976</v>
      </c>
    </row>
    <row r="106" spans="2:10" x14ac:dyDescent="0.25">
      <c r="B106" s="4" t="s">
        <v>1379</v>
      </c>
      <c r="D106" s="1591">
        <f>-L48</f>
        <v>-19.883000000000003</v>
      </c>
      <c r="E106" s="1591">
        <f t="shared" ref="E106:J106" si="32">-M48</f>
        <v>22.800000000000004</v>
      </c>
      <c r="F106" s="1591">
        <f t="shared" si="32"/>
        <v>39.867000000000004</v>
      </c>
      <c r="G106" s="1591">
        <f t="shared" si="32"/>
        <v>-20.466000000000008</v>
      </c>
      <c r="H106" s="1591">
        <f t="shared" si="32"/>
        <v>-9.6769999999999925</v>
      </c>
      <c r="I106" s="1591">
        <f t="shared" si="32"/>
        <v>-32.833000000000006</v>
      </c>
      <c r="J106" s="1591">
        <f t="shared" si="32"/>
        <v>-24.247</v>
      </c>
    </row>
    <row r="107" spans="2:10" ht="19.5" thickBot="1" x14ac:dyDescent="0.35">
      <c r="B107" s="1852" t="s">
        <v>1377</v>
      </c>
      <c r="C107" s="1853"/>
      <c r="D107" s="1854">
        <f>+SUM(D102:D106)</f>
        <v>-1117.9240000000002</v>
      </c>
      <c r="E107" s="1854">
        <f t="shared" ref="E107:J107" si="33">+SUM(E102:E106)</f>
        <v>-130.92900000000003</v>
      </c>
      <c r="F107" s="1854">
        <f t="shared" si="33"/>
        <v>891.37199999999984</v>
      </c>
      <c r="G107" s="1854">
        <f t="shared" si="33"/>
        <v>530.99599999999975</v>
      </c>
      <c r="H107" s="1854">
        <f t="shared" si="33"/>
        <v>-319.87199999999973</v>
      </c>
      <c r="I107" s="1854">
        <f t="shared" si="33"/>
        <v>126.3529999999997</v>
      </c>
      <c r="J107" s="1854">
        <f t="shared" si="33"/>
        <v>68.283000000000655</v>
      </c>
    </row>
    <row r="108" spans="2:10" x14ac:dyDescent="0.25">
      <c r="E108" s="1591"/>
      <c r="F108" s="1591"/>
      <c r="G108" s="1591"/>
      <c r="H108" s="1591"/>
      <c r="I108" s="1591"/>
      <c r="J108" s="1591"/>
    </row>
    <row r="109" spans="2:10" x14ac:dyDescent="0.25">
      <c r="B109" s="1510" t="s">
        <v>990</v>
      </c>
      <c r="C109" s="1510"/>
      <c r="D109" s="1864">
        <f>+C5+C6</f>
        <v>441.625</v>
      </c>
      <c r="E109" s="1864">
        <f t="shared" ref="E109:J109" si="34">+D5+D6</f>
        <v>909.178</v>
      </c>
      <c r="F109" s="1864">
        <f t="shared" si="34"/>
        <v>1318.3509999999999</v>
      </c>
      <c r="G109" s="1864">
        <f t="shared" si="34"/>
        <v>1176.8209999999999</v>
      </c>
      <c r="H109" s="1864">
        <f t="shared" si="34"/>
        <v>1740.789</v>
      </c>
      <c r="I109" s="1864">
        <f t="shared" si="34"/>
        <v>1266.575</v>
      </c>
      <c r="J109" s="1864">
        <f t="shared" si="34"/>
        <v>1621.221</v>
      </c>
    </row>
    <row r="110" spans="2:10" x14ac:dyDescent="0.25">
      <c r="B110" s="99" t="s">
        <v>991</v>
      </c>
      <c r="C110" s="99"/>
      <c r="D110" s="862">
        <f>+D5+D6</f>
        <v>909.178</v>
      </c>
      <c r="E110" s="862">
        <f t="shared" ref="E110:J110" si="35">+E5+E6</f>
        <v>1318.3509999999999</v>
      </c>
      <c r="F110" s="862">
        <f t="shared" si="35"/>
        <v>1176.8209999999999</v>
      </c>
      <c r="G110" s="862">
        <f t="shared" si="35"/>
        <v>1740.789</v>
      </c>
      <c r="H110" s="862">
        <f t="shared" si="35"/>
        <v>1266.575</v>
      </c>
      <c r="I110" s="862">
        <f t="shared" si="35"/>
        <v>1621.221</v>
      </c>
      <c r="J110" s="862">
        <f t="shared" si="35"/>
        <v>2167.627</v>
      </c>
    </row>
    <row r="111" spans="2:10" s="319" customFormat="1" ht="19.899999999999999" customHeight="1" x14ac:dyDescent="0.3">
      <c r="B111" s="1867" t="s">
        <v>1378</v>
      </c>
      <c r="C111" s="1867"/>
      <c r="D111" s="1868">
        <f>+D110-D109</f>
        <v>467.553</v>
      </c>
      <c r="E111" s="1868">
        <f t="shared" ref="E111:J111" si="36">+E110-E109</f>
        <v>409.17299999999989</v>
      </c>
      <c r="F111" s="1868">
        <f t="shared" si="36"/>
        <v>-141.52999999999997</v>
      </c>
      <c r="G111" s="1868">
        <f t="shared" si="36"/>
        <v>563.96800000000007</v>
      </c>
      <c r="H111" s="1868">
        <f t="shared" si="36"/>
        <v>-474.21399999999994</v>
      </c>
      <c r="I111" s="1868">
        <f t="shared" si="36"/>
        <v>354.64599999999996</v>
      </c>
      <c r="J111" s="1868">
        <f t="shared" si="36"/>
        <v>546.40599999999995</v>
      </c>
    </row>
    <row r="112" spans="2:10" x14ac:dyDescent="0.25">
      <c r="E112" s="1591"/>
      <c r="F112" s="1591"/>
      <c r="G112" s="1591"/>
      <c r="H112" s="1591"/>
      <c r="I112" s="1591"/>
      <c r="J112" s="1591"/>
    </row>
    <row r="113" spans="2:10" hidden="1" x14ac:dyDescent="0.25">
      <c r="D113" s="1591">
        <f>+D99+D107</f>
        <v>467.5529999999992</v>
      </c>
      <c r="E113" s="1591">
        <f t="shared" ref="E113:J113" si="37">+E99+E107</f>
        <v>409.17299999999994</v>
      </c>
      <c r="F113" s="1591">
        <f t="shared" si="37"/>
        <v>-141.52999999999975</v>
      </c>
      <c r="G113" s="1591">
        <f t="shared" si="37"/>
        <v>563.96799999999939</v>
      </c>
      <c r="H113" s="1591">
        <f t="shared" si="37"/>
        <v>-474.2140000000004</v>
      </c>
      <c r="I113" s="1591">
        <f t="shared" si="37"/>
        <v>354.64600000000053</v>
      </c>
      <c r="J113" s="1591">
        <f t="shared" si="37"/>
        <v>546.40599999999915</v>
      </c>
    </row>
    <row r="114" spans="2:10" x14ac:dyDescent="0.25">
      <c r="B114" s="708"/>
      <c r="C114" s="1865" t="s">
        <v>221</v>
      </c>
      <c r="D114" s="1866">
        <f>+D113-D111</f>
        <v>-7.9580786405131221E-13</v>
      </c>
      <c r="E114" s="1866">
        <f t="shared" ref="E114:J114" si="38">+E113-E111</f>
        <v>0</v>
      </c>
      <c r="F114" s="1866">
        <f t="shared" si="38"/>
        <v>2.2737367544323206E-13</v>
      </c>
      <c r="G114" s="1866">
        <f t="shared" si="38"/>
        <v>0</v>
      </c>
      <c r="H114" s="1866">
        <f t="shared" si="38"/>
        <v>-4.5474735088646412E-13</v>
      </c>
      <c r="I114" s="1866">
        <f t="shared" si="38"/>
        <v>5.6843418860808015E-13</v>
      </c>
      <c r="J114" s="1866">
        <f t="shared" si="38"/>
        <v>0</v>
      </c>
    </row>
  </sheetData>
  <mergeCells count="5">
    <mergeCell ref="B2:B3"/>
    <mergeCell ref="C2:J2"/>
    <mergeCell ref="L2:R2"/>
    <mergeCell ref="B52:B53"/>
    <mergeCell ref="C52:J5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ayfa12">
    <tabColor theme="9" tint="-0.249977111117893"/>
  </sheetPr>
  <dimension ref="A1:AM390"/>
  <sheetViews>
    <sheetView topLeftCell="A19" zoomScaleNormal="100" workbookViewId="0"/>
  </sheetViews>
  <sheetFormatPr defaultColWidth="9.140625" defaultRowHeight="15" x14ac:dyDescent="0.25"/>
  <cols>
    <col min="1" max="1" width="6" style="4" customWidth="1"/>
    <col min="2" max="2" width="39.5703125" style="398" bestFit="1" customWidth="1"/>
    <col min="3" max="10" width="9.5703125" style="398" customWidth="1"/>
    <col min="11" max="11" width="4" style="4" customWidth="1"/>
    <col min="12" max="39" width="9.140625" style="4"/>
    <col min="40" max="16384" width="9.140625" style="398"/>
  </cols>
  <sheetData>
    <row r="1" spans="2:10" s="4" customFormat="1" ht="15.75" thickBot="1" x14ac:dyDescent="0.3"/>
    <row r="2" spans="2:10" s="4" customFormat="1" ht="24.75" customHeight="1" thickBot="1" x14ac:dyDescent="0.35">
      <c r="B2" s="388" t="str">
        <f>UFRS!C2</f>
        <v>ARCLK</v>
      </c>
      <c r="C2" s="389" t="str">
        <f>UFRS!C4</f>
        <v>TL</v>
      </c>
    </row>
    <row r="3" spans="2:10" s="4" customFormat="1" ht="6.75" customHeight="1" x14ac:dyDescent="0.25"/>
    <row r="4" spans="2:10" s="4" customFormat="1" ht="19.5" thickBot="1" x14ac:dyDescent="0.35">
      <c r="B4" s="2117" t="s">
        <v>335</v>
      </c>
      <c r="C4" s="2117"/>
      <c r="D4" s="2117"/>
      <c r="E4" s="2117"/>
      <c r="F4" s="2117"/>
      <c r="G4" s="2117"/>
      <c r="H4" s="390"/>
      <c r="I4" s="390"/>
      <c r="J4" s="390"/>
    </row>
    <row r="5" spans="2:10" ht="20.25" customHeight="1" thickBot="1" x14ac:dyDescent="0.3">
      <c r="B5" s="391" t="s">
        <v>336</v>
      </c>
      <c r="C5" s="392" t="str">
        <f>Mali!C3</f>
        <v>2008/12</v>
      </c>
      <c r="D5" s="393" t="str">
        <f>Mali!D3</f>
        <v>2009/12</v>
      </c>
      <c r="E5" s="394" t="str">
        <f>Mali!E3</f>
        <v>2010/12</v>
      </c>
      <c r="F5" s="395" t="str">
        <f>Mali!F3</f>
        <v>2011/12</v>
      </c>
      <c r="G5" s="396" t="str">
        <f>Mali!G3</f>
        <v>2012/12</v>
      </c>
      <c r="H5" s="395" t="str">
        <f>Mali!H3</f>
        <v>2013/12</v>
      </c>
      <c r="I5" s="396" t="str">
        <f>Mali!I3</f>
        <v>2014/12</v>
      </c>
      <c r="J5" s="397" t="str">
        <f>Mali!J3</f>
        <v>2015/12</v>
      </c>
    </row>
    <row r="6" spans="2:10" ht="15" customHeight="1" x14ac:dyDescent="0.25">
      <c r="B6" s="399"/>
      <c r="C6" s="400"/>
      <c r="D6" s="401"/>
      <c r="E6" s="400"/>
      <c r="F6" s="401"/>
      <c r="G6" s="400"/>
      <c r="H6" s="401"/>
      <c r="I6" s="400"/>
      <c r="J6" s="402"/>
    </row>
    <row r="7" spans="2:10" x14ac:dyDescent="0.25">
      <c r="B7" s="403" t="s">
        <v>337</v>
      </c>
      <c r="C7" s="404"/>
      <c r="D7" s="405"/>
      <c r="E7" s="406"/>
      <c r="F7" s="407"/>
      <c r="G7" s="406"/>
      <c r="H7" s="407"/>
      <c r="I7" s="406"/>
      <c r="J7" s="408"/>
    </row>
    <row r="8" spans="2:10" ht="15" customHeight="1" x14ac:dyDescent="0.25">
      <c r="B8" s="409" t="s">
        <v>342</v>
      </c>
      <c r="C8" s="410">
        <f>Mali!C4/Mali!C25</f>
        <v>1.468008099165778</v>
      </c>
      <c r="D8" s="411">
        <f>Mali!D4/Mali!D25</f>
        <v>1.3076715991600367</v>
      </c>
      <c r="E8" s="411">
        <f>Mali!E4/Mali!E25</f>
        <v>2.0275240404630424</v>
      </c>
      <c r="F8" s="411">
        <f>Mali!F4/Mali!F25</f>
        <v>1.7090055004503459</v>
      </c>
      <c r="G8" s="411">
        <f>Mali!G4/Mali!G25</f>
        <v>1.7055908685130901</v>
      </c>
      <c r="H8" s="411">
        <f>Mali!H4/Mali!H25</f>
        <v>1.8721218006801523</v>
      </c>
      <c r="I8" s="411">
        <f>Mali!I4/Mali!I25</f>
        <v>1.9120139171161525</v>
      </c>
      <c r="J8" s="412">
        <f>Mali!J4/Mali!J25</f>
        <v>1.7963557070960645</v>
      </c>
    </row>
    <row r="9" spans="2:10" x14ac:dyDescent="0.25">
      <c r="B9" s="413" t="s">
        <v>343</v>
      </c>
      <c r="C9" s="414">
        <f>(Mali!C4-Mali!C9)/Mali!C25</f>
        <v>1.0420338602103325</v>
      </c>
      <c r="D9" s="415">
        <f>(Mali!D4-Mali!D9)/Mali!D25</f>
        <v>1.0224885467422176</v>
      </c>
      <c r="E9" s="415">
        <f>(Mali!E4-Mali!E9)/Mali!E25</f>
        <v>1.6058627944025359</v>
      </c>
      <c r="F9" s="415">
        <f>(Mali!F4-Mali!F9)/Mali!F25</f>
        <v>1.2756139148364878</v>
      </c>
      <c r="G9" s="415">
        <f>(Mali!G4-Mali!G9)/Mali!G25</f>
        <v>1.3005897570537162</v>
      </c>
      <c r="H9" s="415">
        <f>(Mali!H4-Mali!H9)/Mali!H25</f>
        <v>1.3861028568299862</v>
      </c>
      <c r="I9" s="415">
        <f>(Mali!I4-Mali!I9)/Mali!I25</f>
        <v>1.4324290653409777</v>
      </c>
      <c r="J9" s="416">
        <f>(Mali!J4-Mali!J9)/Mali!J25</f>
        <v>1.3876590651752567</v>
      </c>
    </row>
    <row r="10" spans="2:10" x14ac:dyDescent="0.25">
      <c r="B10" s="403" t="s">
        <v>338</v>
      </c>
      <c r="C10" s="404"/>
      <c r="D10" s="405"/>
      <c r="E10" s="405"/>
      <c r="F10" s="405"/>
      <c r="G10" s="405"/>
      <c r="H10" s="405"/>
      <c r="I10" s="405"/>
      <c r="J10" s="417"/>
    </row>
    <row r="11" spans="2:10" x14ac:dyDescent="0.25">
      <c r="B11" s="409" t="s">
        <v>344</v>
      </c>
      <c r="C11" s="414">
        <f>(Mali!C25+Mali!C33)/Mali!C42</f>
        <v>2.4623137924848932</v>
      </c>
      <c r="D11" s="415">
        <f>(Mali!D25+Mali!D33)/Mali!D42</f>
        <v>1.3425008100957061</v>
      </c>
      <c r="E11" s="415">
        <f>(Mali!E25+Mali!E33)/Mali!E42</f>
        <v>1.1485711619510208</v>
      </c>
      <c r="F11" s="415">
        <f>(Mali!F25+Mali!F33)/Mali!F42</f>
        <v>1.5187999039336013</v>
      </c>
      <c r="G11" s="415">
        <f>(Mali!G25+Mali!G33)/Mali!G42</f>
        <v>1.6044158294576207</v>
      </c>
      <c r="H11" s="415">
        <f>(Mali!H25+Mali!H33)/Mali!H42</f>
        <v>1.7570883618169322</v>
      </c>
      <c r="I11" s="415">
        <f>(Mali!I25+Mali!I33)/Mali!I42</f>
        <v>1.8178804273446367</v>
      </c>
      <c r="J11" s="418">
        <f>(Mali!J25+Mali!J33)/Mali!J42</f>
        <v>1.9381922423728624</v>
      </c>
    </row>
    <row r="12" spans="2:10" x14ac:dyDescent="0.25">
      <c r="B12" s="413" t="s">
        <v>345</v>
      </c>
      <c r="C12" s="414">
        <f>Mali!C25/(Mali!C25+Mali!C33)</f>
        <v>0.62116844903508595</v>
      </c>
      <c r="D12" s="415">
        <f>Mali!D25/(Mali!D25+Mali!D33)</f>
        <v>0.86329872079779424</v>
      </c>
      <c r="E12" s="415">
        <f>Mali!E25/(Mali!E25+Mali!E33)</f>
        <v>0.59835821181520299</v>
      </c>
      <c r="F12" s="415">
        <f>Mali!F25/(Mali!F25+Mali!F33)</f>
        <v>0.63659370744766786</v>
      </c>
      <c r="G12" s="415">
        <f>Mali!G25/(Mali!G25+Mali!G33)</f>
        <v>0.62685500747668843</v>
      </c>
      <c r="H12" s="415">
        <f>Mali!H25/(Mali!H25+Mali!H33)</f>
        <v>0.56257604343138767</v>
      </c>
      <c r="I12" s="415">
        <f>Mali!I25/(Mali!I25+Mali!I33)</f>
        <v>0.55410616425807568</v>
      </c>
      <c r="J12" s="418">
        <f>Mali!J25/(Mali!J25+Mali!J33)</f>
        <v>0.57778738740488322</v>
      </c>
    </row>
    <row r="13" spans="2:10" x14ac:dyDescent="0.25">
      <c r="B13" s="413" t="s">
        <v>346</v>
      </c>
      <c r="C13" s="419">
        <f>(Mali!C26+Mali!C34)/(Mali!C25+Mali!C33)</f>
        <v>0.70956005600763006</v>
      </c>
      <c r="D13" s="420">
        <f>(Mali!D26+Mali!D34)/(Mali!D25+Mali!D33)</f>
        <v>0.57362207129485454</v>
      </c>
      <c r="E13" s="420">
        <f>(Mali!E26+Mali!E34)/(Mali!E25+Mali!E33)</f>
        <v>0.5256816193049354</v>
      </c>
      <c r="F13" s="420">
        <f>(Mali!F26+Mali!F34)/(Mali!F25+Mali!F33)</f>
        <v>0.56929521077107714</v>
      </c>
      <c r="G13" s="420">
        <f>(Mali!G26+Mali!G34)/(Mali!G25+Mali!G33)</f>
        <v>0.63596907625206356</v>
      </c>
      <c r="H13" s="420">
        <f>(Mali!H26+Mali!H34)/(Mali!H25+Mali!H33)</f>
        <v>0.58703810147191482</v>
      </c>
      <c r="I13" s="420">
        <f>(Mali!I26+Mali!I34)/(Mali!I25+Mali!I33)</f>
        <v>0.59670295300067899</v>
      </c>
      <c r="J13" s="421">
        <f>(Mali!J26+Mali!J34)/(Mali!J25+Mali!J33)</f>
        <v>0.60213065221059014</v>
      </c>
    </row>
    <row r="14" spans="2:10" x14ac:dyDescent="0.25">
      <c r="B14" s="422" t="s">
        <v>347</v>
      </c>
      <c r="C14" s="423">
        <f>(Mali!C25+Mali!C154)/Mali!C23</f>
        <v>0.44175997069803874</v>
      </c>
      <c r="D14" s="424">
        <f>(Mali!D25+Mali!D154)/Mali!D23</f>
        <v>0.49476150745846448</v>
      </c>
      <c r="E14" s="424">
        <f>(Mali!E25+Mali!E154)/Mali!E23</f>
        <v>0.31986698824694992</v>
      </c>
      <c r="F14" s="424">
        <f>(Mali!F25+Mali!F154)/Mali!F23</f>
        <v>0.38385679632840758</v>
      </c>
      <c r="G14" s="424">
        <f>(Mali!G25+Mali!G154)/Mali!G23</f>
        <v>0.38616571339908584</v>
      </c>
      <c r="H14" s="424">
        <f>(Mali!H25+Mali!H154)/Mali!H23</f>
        <v>0.35852888584930426</v>
      </c>
      <c r="I14" s="424">
        <f>(Mali!I25+Mali!I154)/Mali!I23</f>
        <v>0.35746681828688254</v>
      </c>
      <c r="J14" s="425">
        <f>(Mali!J25+Mali!J154)/Mali!J23</f>
        <v>0.38114015000755536</v>
      </c>
    </row>
    <row r="15" spans="2:10" x14ac:dyDescent="0.25">
      <c r="B15" s="403" t="s">
        <v>339</v>
      </c>
      <c r="C15" s="404"/>
      <c r="D15" s="405"/>
      <c r="E15" s="426"/>
      <c r="F15" s="427"/>
      <c r="G15" s="428"/>
      <c r="H15" s="429"/>
      <c r="I15" s="428"/>
      <c r="J15" s="417"/>
    </row>
    <row r="16" spans="2:10" x14ac:dyDescent="0.25">
      <c r="B16" s="409" t="s">
        <v>348</v>
      </c>
      <c r="C16" s="430"/>
      <c r="D16" s="431">
        <f>Mali!D56/((Mali!D4+Mali!C4)/2)</f>
        <v>1.5238539416362966</v>
      </c>
      <c r="E16" s="430">
        <f>Mali!E56/((Mali!E4+Mali!D4)/2)</f>
        <v>1.557627026156714</v>
      </c>
      <c r="F16" s="431">
        <f>Mali!F56/((Mali!F4+Mali!E4)/2)</f>
        <v>1.5650182966732107</v>
      </c>
      <c r="G16" s="430">
        <f>Mali!G56/((Mali!G4+Mali!F4)/2)</f>
        <v>1.6533164214757936</v>
      </c>
      <c r="H16" s="431">
        <f>Mali!H56/((Mali!H4+Mali!G4)/2)</f>
        <v>1.5417988696144345</v>
      </c>
      <c r="I16" s="430">
        <f>Mali!I56/((Mali!I4+Mali!H4)/2)</f>
        <v>1.5515628259471355</v>
      </c>
      <c r="J16" s="432">
        <f>Mali!J56/((Mali!J4+Mali!I4)/2)</f>
        <v>1.5847514116364974</v>
      </c>
    </row>
    <row r="17" spans="2:10" x14ac:dyDescent="0.25">
      <c r="B17" s="413" t="s">
        <v>349</v>
      </c>
      <c r="C17" s="433"/>
      <c r="D17" s="434">
        <f>Mali!D57/((Mali!D9+Mali!C9)/2)</f>
        <v>3.9967956097501394</v>
      </c>
      <c r="E17" s="433">
        <f>Mali!E57/((Mali!E9+Mali!D9)/2)</f>
        <v>5.1400962460249424</v>
      </c>
      <c r="F17" s="434">
        <f>Mali!F57/((Mali!F9+Mali!E9)/2)</f>
        <v>4.6845027559244334</v>
      </c>
      <c r="G17" s="433">
        <f>Mali!G57/((Mali!G9+Mali!F9)/2)</f>
        <v>4.794572431009148</v>
      </c>
      <c r="H17" s="434">
        <f>Mali!H57/((Mali!H9+Mali!G9)/2)</f>
        <v>4.2972460382867377</v>
      </c>
      <c r="I17" s="433">
        <f>Mali!I57/((Mali!I9+Mali!H9)/2)</f>
        <v>4.1500311548897617</v>
      </c>
      <c r="J17" s="435">
        <f>Mali!J57/((Mali!J9+Mali!I9)/2)</f>
        <v>4.5159203873948046</v>
      </c>
    </row>
    <row r="18" spans="2:10" x14ac:dyDescent="0.25">
      <c r="B18" s="413" t="s">
        <v>350</v>
      </c>
      <c r="C18" s="436"/>
      <c r="D18" s="437">
        <f>365/D17</f>
        <v>91.323158759879163</v>
      </c>
      <c r="E18" s="436">
        <f t="shared" ref="E18:J18" si="0">365/E17</f>
        <v>71.010343489632163</v>
      </c>
      <c r="F18" s="437">
        <f t="shared" si="0"/>
        <v>77.916487409125537</v>
      </c>
      <c r="G18" s="438">
        <f t="shared" si="0"/>
        <v>76.127747625490727</v>
      </c>
      <c r="H18" s="438">
        <f t="shared" si="0"/>
        <v>84.938120076904255</v>
      </c>
      <c r="I18" s="436">
        <f t="shared" si="0"/>
        <v>87.951146961858313</v>
      </c>
      <c r="J18" s="439">
        <f t="shared" si="0"/>
        <v>80.825162688610931</v>
      </c>
    </row>
    <row r="19" spans="2:10" x14ac:dyDescent="0.25">
      <c r="B19" s="413" t="s">
        <v>351</v>
      </c>
      <c r="C19" s="436"/>
      <c r="D19" s="437">
        <f>Mali!D56/((Mali!D7+Mali!C7)/2)</f>
        <v>2.702738329187456</v>
      </c>
      <c r="E19" s="436">
        <f>Mali!E56/((Mali!E7+Mali!D7)/2)</f>
        <v>3.04389886845874</v>
      </c>
      <c r="F19" s="437">
        <f>Mali!F56/((Mali!F7+Mali!E7)/2)</f>
        <v>3.0650508369164506</v>
      </c>
      <c r="G19" s="438">
        <f>Mali!G56/((Mali!G7+Mali!F7)/2)</f>
        <v>3.2773338660584415</v>
      </c>
      <c r="H19" s="438">
        <f>Mali!H56/((Mali!H7+Mali!G7)/2)</f>
        <v>2.981806022529101</v>
      </c>
      <c r="I19" s="436">
        <f>Mali!I56/((Mali!I7+Mali!H7)/2)</f>
        <v>2.904823075292843</v>
      </c>
      <c r="J19" s="439">
        <f>Mali!J56/((Mali!J7+Mali!I7)/2)</f>
        <v>3.0714333026575216</v>
      </c>
    </row>
    <row r="20" spans="2:10" x14ac:dyDescent="0.25">
      <c r="B20" s="413" t="s">
        <v>352</v>
      </c>
      <c r="C20" s="436"/>
      <c r="D20" s="437">
        <f>365/D19</f>
        <v>135.04821982146257</v>
      </c>
      <c r="E20" s="436">
        <f t="shared" ref="E20:J20" si="1">365/E19</f>
        <v>119.91199963381686</v>
      </c>
      <c r="F20" s="437">
        <f t="shared" si="1"/>
        <v>119.08448486525036</v>
      </c>
      <c r="G20" s="438">
        <f t="shared" si="1"/>
        <v>111.37101525728148</v>
      </c>
      <c r="H20" s="438">
        <f t="shared" si="1"/>
        <v>122.40903574620027</v>
      </c>
      <c r="I20" s="436">
        <f t="shared" si="1"/>
        <v>125.65309161323134</v>
      </c>
      <c r="J20" s="439">
        <f t="shared" si="1"/>
        <v>118.83702624575569</v>
      </c>
    </row>
    <row r="21" spans="2:10" x14ac:dyDescent="0.25">
      <c r="B21" s="413" t="s">
        <v>353</v>
      </c>
      <c r="C21" s="436"/>
      <c r="D21" s="437">
        <f>Mali!D57/((Mali!D27+Mali!C27)/2)</f>
        <v>6.0200377590140954</v>
      </c>
      <c r="E21" s="436">
        <f>Mali!E57/((Mali!E27+Mali!D27)/2)</f>
        <v>5.6238584145217292</v>
      </c>
      <c r="F21" s="437">
        <f>Mali!F57/((Mali!F27+Mali!E27)/2)</f>
        <v>5.316229530586754</v>
      </c>
      <c r="G21" s="438">
        <f>Mali!G57/((Mali!G27+Mali!F27)/2)</f>
        <v>6.18720630345911</v>
      </c>
      <c r="H21" s="438">
        <f>Mali!H57/((Mali!H27+Mali!G27)/2)</f>
        <v>5.4662424699649446</v>
      </c>
      <c r="I21" s="436">
        <f>Mali!I57/((Mali!I27+Mali!H27)/2)</f>
        <v>4.9821068649889586</v>
      </c>
      <c r="J21" s="439">
        <f>Mali!J57/((Mali!J27+Mali!I27)/2)</f>
        <v>4.9744911716302038</v>
      </c>
    </row>
    <row r="22" spans="2:10" x14ac:dyDescent="0.25">
      <c r="B22" s="413" t="s">
        <v>354</v>
      </c>
      <c r="C22" s="436"/>
      <c r="D22" s="437">
        <f>365/D21</f>
        <v>60.630848943342215</v>
      </c>
      <c r="E22" s="436">
        <f t="shared" ref="E22:J22" si="2">365/E21</f>
        <v>64.902060666660788</v>
      </c>
      <c r="F22" s="437">
        <f t="shared" si="2"/>
        <v>68.65768264894966</v>
      </c>
      <c r="G22" s="438">
        <f t="shared" si="2"/>
        <v>58.992699143705252</v>
      </c>
      <c r="H22" s="438">
        <f t="shared" si="2"/>
        <v>66.773474101367626</v>
      </c>
      <c r="I22" s="436">
        <f t="shared" si="2"/>
        <v>73.262178008461674</v>
      </c>
      <c r="J22" s="439">
        <f t="shared" si="2"/>
        <v>73.374338682439529</v>
      </c>
    </row>
    <row r="23" spans="2:10" x14ac:dyDescent="0.25">
      <c r="B23" s="413" t="s">
        <v>355</v>
      </c>
      <c r="C23" s="436"/>
      <c r="D23" s="437">
        <f>D18+D20-D22</f>
        <v>165.74052963799951</v>
      </c>
      <c r="E23" s="438">
        <f t="shared" ref="E23:J23" si="3">E18+E20-E22</f>
        <v>126.02028245678824</v>
      </c>
      <c r="F23" s="438">
        <f t="shared" si="3"/>
        <v>128.34328962542622</v>
      </c>
      <c r="G23" s="438">
        <f t="shared" si="3"/>
        <v>128.50606373906697</v>
      </c>
      <c r="H23" s="438">
        <f t="shared" si="3"/>
        <v>140.57368172173688</v>
      </c>
      <c r="I23" s="438">
        <f t="shared" si="3"/>
        <v>140.34206056662799</v>
      </c>
      <c r="J23" s="440">
        <f t="shared" si="3"/>
        <v>126.28785025192708</v>
      </c>
    </row>
    <row r="24" spans="2:10" x14ac:dyDescent="0.25">
      <c r="B24" s="422" t="s">
        <v>356</v>
      </c>
      <c r="C24" s="441"/>
      <c r="D24" s="442">
        <f>Mali!D56/((Mali!D23+Mali!C23)/2)</f>
        <v>0.98711452110968012</v>
      </c>
      <c r="E24" s="443">
        <f>Mali!E56/((Mali!E23+Mali!D23)/2)</f>
        <v>1.0090499873549079</v>
      </c>
      <c r="F24" s="443">
        <f>Mali!F56/((Mali!F23+Mali!E23)/2)</f>
        <v>1.0214876807498912</v>
      </c>
      <c r="G24" s="443">
        <f>Mali!G56/((Mali!G23+Mali!F23)/2)</f>
        <v>1.0868848021811697</v>
      </c>
      <c r="H24" s="443">
        <f>Mali!H56/((Mali!H23+Mali!G23)/2)</f>
        <v>1.0257105793229826</v>
      </c>
      <c r="I24" s="443">
        <f>Mali!I56/((Mali!I23+Mali!H23)/2)</f>
        <v>1.0513378583420485</v>
      </c>
      <c r="J24" s="444">
        <f>Mali!J56/((Mali!J23+Mali!I23)/2)</f>
        <v>1.0841328527090868</v>
      </c>
    </row>
    <row r="25" spans="2:10" x14ac:dyDescent="0.25">
      <c r="B25" s="403" t="s">
        <v>340</v>
      </c>
      <c r="C25" s="404"/>
      <c r="D25" s="405"/>
      <c r="E25" s="445"/>
      <c r="F25" s="429"/>
      <c r="G25" s="429"/>
      <c r="H25" s="426"/>
      <c r="I25" s="429"/>
      <c r="J25" s="446"/>
    </row>
    <row r="26" spans="2:10" x14ac:dyDescent="0.25">
      <c r="B26" s="409" t="s">
        <v>361</v>
      </c>
      <c r="C26" s="447"/>
      <c r="D26" s="447">
        <f>Mali!D63/((Mali!D23+Mali!C23)/2)</f>
        <v>0.10395311071439893</v>
      </c>
      <c r="E26" s="447">
        <f>Mali!E63/((Mali!E23+Mali!D23)/2)</f>
        <v>8.2274926633371687E-2</v>
      </c>
      <c r="F26" s="447">
        <f>Mali!F63/((Mali!F23+Mali!E23)/2)</f>
        <v>7.9730805607332644E-2</v>
      </c>
      <c r="G26" s="447">
        <f>Mali!G63/((Mali!G23+Mali!F23)/2)</f>
        <v>7.9276714300995824E-2</v>
      </c>
      <c r="H26" s="447">
        <f>Mali!H63/((Mali!H23+Mali!G23)/2)</f>
        <v>7.9591871535693096E-2</v>
      </c>
      <c r="I26" s="447">
        <f>Mali!I63/((Mali!I23+Mali!H23)/2)</f>
        <v>8.2982800791450193E-2</v>
      </c>
      <c r="J26" s="448">
        <f>Mali!J63/((Mali!J23+Mali!I23)/2)</f>
        <v>8.316049970013599E-2</v>
      </c>
    </row>
    <row r="27" spans="2:10" x14ac:dyDescent="0.25">
      <c r="B27" s="413" t="s">
        <v>360</v>
      </c>
      <c r="C27" s="449"/>
      <c r="D27" s="449">
        <f>Mali!D63/((Mali!C26+Mali!C34+Mali!D34+Mali!D26+Mali!C42+Mali!D42)/2)</f>
        <v>0.13408900648354516</v>
      </c>
      <c r="E27" s="449">
        <f>Mali!E63/((Mali!D26+Mali!D34+Mali!E34+Mali!E26+Mali!D42+Mali!E42)/2)</f>
        <v>0.10959155479911994</v>
      </c>
      <c r="F27" s="449">
        <f>Mali!F63/((Mali!E26+Mali!E34+Mali!F34+Mali!F26+Mali!E42+Mali!F42)/2)</f>
        <v>0.10730681495722635</v>
      </c>
      <c r="G27" s="449">
        <f>Mali!G63/((Mali!F26+Mali!F34+Mali!G34+Mali!G26+Mali!F42+Mali!G42)/2)</f>
        <v>0.10445472698366194</v>
      </c>
      <c r="H27" s="449">
        <f>Mali!H63/((Mali!G26+Mali!G34+Mali!H34+Mali!H26+Mali!G42+Mali!H42)/2)</f>
        <v>0.10538926332813507</v>
      </c>
      <c r="I27" s="449">
        <f>Mali!I63/((Mali!H26+Mali!H34+Mali!I34+Mali!I26+Mali!H42+Mali!I42)/2)</f>
        <v>0.11238435697897861</v>
      </c>
      <c r="J27" s="450">
        <f>Mali!J63/((Mali!I26+Mali!I34+Mali!J34+Mali!J26+Mali!I42+Mali!J42)/2)</f>
        <v>0.11258824919634994</v>
      </c>
    </row>
    <row r="28" spans="2:10" x14ac:dyDescent="0.25">
      <c r="B28" s="413" t="s">
        <v>359</v>
      </c>
      <c r="C28" s="451"/>
      <c r="D28" s="451">
        <f>Mali!D78/((Mali!D42+Mali!C42)/2)</f>
        <v>0.21203111090129242</v>
      </c>
      <c r="E28" s="451">
        <f>Mali!E78/((Mali!E42+Mali!D42)/2)</f>
        <v>0.17858099110796744</v>
      </c>
      <c r="F28" s="451">
        <f>Mali!F78/((Mali!F42+Mali!E42)/2)</f>
        <v>0.15329600708277985</v>
      </c>
      <c r="G28" s="451">
        <f>Mali!G78/((Mali!G42+Mali!F42)/2)</f>
        <v>0.14558570426538195</v>
      </c>
      <c r="H28" s="451">
        <f>Mali!H78/((Mali!H42+Mali!G42)/2)</f>
        <v>0.15440012268796222</v>
      </c>
      <c r="I28" s="451">
        <f>Mali!I78/((Mali!I42+Mali!H42)/2)</f>
        <v>0.14945392385130282</v>
      </c>
      <c r="J28" s="452">
        <f>Mali!J78/((Mali!J42+Mali!I42)/2)</f>
        <v>0.19681294964425169</v>
      </c>
    </row>
    <row r="29" spans="2:10" x14ac:dyDescent="0.25">
      <c r="B29" s="413" t="s">
        <v>358</v>
      </c>
      <c r="C29" s="451">
        <f>Mali!C63/Mali!C56</f>
        <v>6.4878833238039446E-2</v>
      </c>
      <c r="D29" s="451">
        <f>Mali!D63/Mali!D56</f>
        <v>0.10531008154711212</v>
      </c>
      <c r="E29" s="451">
        <f>Mali!E63/Mali!E56</f>
        <v>8.153701765464029E-2</v>
      </c>
      <c r="F29" s="451">
        <f>Mali!F63/Mali!F56</f>
        <v>7.8053614458473863E-2</v>
      </c>
      <c r="G29" s="451">
        <f>Mali!G63/Mali!G56</f>
        <v>7.2939389843249838E-2</v>
      </c>
      <c r="H29" s="451">
        <f>Mali!H63/Mali!H56</f>
        <v>7.7596812531881526E-2</v>
      </c>
      <c r="I29" s="451">
        <f>Mali!I63/Mali!I56</f>
        <v>7.8930669273446899E-2</v>
      </c>
      <c r="J29" s="452">
        <f>Mali!J63/Mali!J56</f>
        <v>7.6706927100613428E-2</v>
      </c>
    </row>
    <row r="30" spans="2:10" x14ac:dyDescent="0.25">
      <c r="B30" s="413" t="s">
        <v>357</v>
      </c>
      <c r="C30" s="451">
        <f>Mali!C65/Mali!C56</f>
        <v>8.9392015807453123E-2</v>
      </c>
      <c r="D30" s="451">
        <f>Mali!D65/Mali!D56</f>
        <v>0.13285193407965398</v>
      </c>
      <c r="E30" s="451">
        <f>Mali!E65/Mali!E56</f>
        <v>0.10929456405465644</v>
      </c>
      <c r="F30" s="451">
        <f>Mali!F65/Mali!F56</f>
        <v>0.10387177606323582</v>
      </c>
      <c r="G30" s="451">
        <f>Mali!G65/Mali!G56</f>
        <v>9.7642566289354416E-2</v>
      </c>
      <c r="H30" s="451">
        <f>Mali!H65/Mali!H56</f>
        <v>0.1048259411332661</v>
      </c>
      <c r="I30" s="451">
        <f>Mali!I65/Mali!I56</f>
        <v>0.10660304315962732</v>
      </c>
      <c r="J30" s="452">
        <f>Mali!J65/Mali!J56</f>
        <v>0.10281312428967745</v>
      </c>
    </row>
    <row r="31" spans="2:10" x14ac:dyDescent="0.25">
      <c r="B31" s="413" t="s">
        <v>362</v>
      </c>
      <c r="C31" s="451">
        <f>Mali!C58/Mali!C56</f>
        <v>0.27602915074788148</v>
      </c>
      <c r="D31" s="451">
        <f>Mali!D58/Mali!D56</f>
        <v>0.32979939759356003</v>
      </c>
      <c r="E31" s="451">
        <f>Mali!E58/Mali!E56</f>
        <v>0.29812886186245935</v>
      </c>
      <c r="F31" s="451">
        <f>Mali!F58/Mali!F56</f>
        <v>0.30107360950661699</v>
      </c>
      <c r="G31" s="451">
        <f>Mali!G58/Mali!G56</f>
        <v>0.28927509796709461</v>
      </c>
      <c r="H31" s="451">
        <f>Mali!H58/Mali!H56</f>
        <v>0.30532287243738815</v>
      </c>
      <c r="I31" s="451">
        <f>Mali!I58/Mali!I56</f>
        <v>0.31794961704192409</v>
      </c>
      <c r="J31" s="452">
        <f>Mali!J58/Mali!J56</f>
        <v>0.32019349009254489</v>
      </c>
    </row>
    <row r="32" spans="2:10" ht="15.75" thickBot="1" x14ac:dyDescent="0.3">
      <c r="B32" s="453" t="s">
        <v>363</v>
      </c>
      <c r="C32" s="454">
        <f>Mali!C78/Mali!C56</f>
        <v>9.6759844015325625E-4</v>
      </c>
      <c r="D32" s="454">
        <f>Mali!D78/Mali!D56</f>
        <v>7.6309771317656094E-2</v>
      </c>
      <c r="E32" s="454">
        <f>Mali!E78/Mali!E56</f>
        <v>7.9183065615980597E-2</v>
      </c>
      <c r="F32" s="454">
        <f>Mali!F78/Mali!F56</f>
        <v>6.4130813409457713E-2</v>
      </c>
      <c r="G32" s="454">
        <f>Mali!G78/Mali!G56</f>
        <v>5.2258715919438592E-2</v>
      </c>
      <c r="H32" s="454">
        <f>Mali!H78/Mali!H56</f>
        <v>5.6110219485802026E-2</v>
      </c>
      <c r="I32" s="454">
        <f>Mali!I78/Mali!I56</f>
        <v>5.0981006682657815E-2</v>
      </c>
      <c r="J32" s="455">
        <f>Mali!J78/Mali!J56</f>
        <v>6.3037321492859691E-2</v>
      </c>
    </row>
    <row r="33" spans="2:11" x14ac:dyDescent="0.25">
      <c r="B33" s="403" t="s">
        <v>341</v>
      </c>
      <c r="C33" s="456"/>
      <c r="D33" s="456"/>
      <c r="E33" s="429"/>
      <c r="F33" s="429"/>
      <c r="G33" s="429"/>
      <c r="H33" s="426"/>
      <c r="I33" s="429"/>
      <c r="J33" s="446"/>
    </row>
    <row r="34" spans="2:11" x14ac:dyDescent="0.25">
      <c r="B34" s="409" t="s">
        <v>364</v>
      </c>
      <c r="C34" s="447"/>
      <c r="D34" s="447">
        <f>Mali!D56/Mali!C56-1</f>
        <v>-2.7103825555992667E-2</v>
      </c>
      <c r="E34" s="457">
        <f>Mali!E56/Mali!D56-1</f>
        <v>5.2264940506485447E-2</v>
      </c>
      <c r="F34" s="457">
        <f>Mali!F56/Mali!E56-1</f>
        <v>0.2163679534976255</v>
      </c>
      <c r="G34" s="457">
        <f>Mali!G56/Mali!F56-1</f>
        <v>0.25122223040025315</v>
      </c>
      <c r="H34" s="458">
        <f>Mali!H56/Mali!G56-1</f>
        <v>5.1232084991930771E-2</v>
      </c>
      <c r="I34" s="457">
        <f>Mali!I56/Mali!H56-1</f>
        <v>0.12762289448698017</v>
      </c>
      <c r="J34" s="448">
        <f>Mali!J56/Mali!I56-1</f>
        <v>0.1320171522641822</v>
      </c>
    </row>
    <row r="35" spans="2:11" x14ac:dyDescent="0.25">
      <c r="B35" s="413" t="s">
        <v>365</v>
      </c>
      <c r="C35" s="449"/>
      <c r="D35" s="449">
        <f>Mali!D63/Mali!C63-1</f>
        <v>0.57918646735928747</v>
      </c>
      <c r="E35" s="459">
        <f>Mali!E63/Mali!D63-1</f>
        <v>-0.1852770050980066</v>
      </c>
      <c r="F35" s="459">
        <f>Mali!F63/Mali!E63-1</f>
        <v>0.16440259912478372</v>
      </c>
      <c r="G35" s="459">
        <f>Mali!G63/Mali!F63-1</f>
        <v>0.16923971653175185</v>
      </c>
      <c r="H35" s="460">
        <f>Mali!H63/Mali!G63-1</f>
        <v>0.11835675074771523</v>
      </c>
      <c r="I35" s="459">
        <f>Mali!I63/Mali!H63-1</f>
        <v>0.1470062602552189</v>
      </c>
      <c r="J35" s="450">
        <f>Mali!J63/Mali!I63-1</f>
        <v>0.10012442533012145</v>
      </c>
    </row>
    <row r="36" spans="2:11" x14ac:dyDescent="0.25">
      <c r="B36" s="413" t="s">
        <v>366</v>
      </c>
      <c r="C36" s="451"/>
      <c r="D36" s="451">
        <f>Mali!D65/Mali!C65-1</f>
        <v>0.44589130546048605</v>
      </c>
      <c r="E36" s="461">
        <f>Mali!E65/Mali!D65-1</f>
        <v>-0.13432319416817262</v>
      </c>
      <c r="F36" s="461">
        <f>Mali!F65/Mali!E65-1</f>
        <v>0.15601631946688621</v>
      </c>
      <c r="G36" s="461">
        <f>Mali!G65/Mali!F65-1</f>
        <v>0.17618619999520857</v>
      </c>
      <c r="H36" s="462">
        <f>Mali!H65/Mali!G65-1</f>
        <v>0.12856919729258465</v>
      </c>
      <c r="I36" s="461">
        <f>Mali!I65/Mali!H65-1</f>
        <v>0.1467393546789908</v>
      </c>
      <c r="J36" s="452">
        <f>Mali!J65/Mali!I65-1</f>
        <v>9.1772023801491631E-2</v>
      </c>
    </row>
    <row r="37" spans="2:11" x14ac:dyDescent="0.25">
      <c r="B37" s="413" t="s">
        <v>367</v>
      </c>
      <c r="C37" s="449"/>
      <c r="D37" s="451">
        <f>Mali!D78/Mali!C78-1</f>
        <v>75.727577791346661</v>
      </c>
      <c r="E37" s="461">
        <f>Mali!E78/Mali!D78-1</f>
        <v>9.188590649389794E-2</v>
      </c>
      <c r="F37" s="461">
        <f>Mali!F78/Mali!E78-1</f>
        <v>-1.485670381449633E-2</v>
      </c>
      <c r="G37" s="461">
        <f>Mali!G78/Mali!F78-1</f>
        <v>1.9592043423702465E-2</v>
      </c>
      <c r="H37" s="462">
        <f>Mali!H78/Mali!G78-1</f>
        <v>0.12870861791447163</v>
      </c>
      <c r="I37" s="461">
        <f>Mali!I78/Mali!H78-1</f>
        <v>2.4543315748482009E-2</v>
      </c>
      <c r="J37" s="452">
        <f>Mali!J78/Mali!I78-1</f>
        <v>0.39972381492778619</v>
      </c>
    </row>
    <row r="38" spans="2:11" x14ac:dyDescent="0.25">
      <c r="B38" s="413" t="s">
        <v>368</v>
      </c>
      <c r="C38" s="449"/>
      <c r="D38" s="451">
        <f>Mali!D42/Mali!C42-1</f>
        <v>0.37084057643695756</v>
      </c>
      <c r="E38" s="461">
        <f>Mali!E42/Mali!D42-1</f>
        <v>0.24211054261650156</v>
      </c>
      <c r="F38" s="461">
        <f>Mali!F42/Mali!E42-1</f>
        <v>7.1574541909667833E-2</v>
      </c>
      <c r="G38" s="461">
        <f>Mali!G42/Mali!F42-1</f>
        <v>7.5471274421554657E-2</v>
      </c>
      <c r="H38" s="462">
        <f>Mali!H42/Mali!G42-1</f>
        <v>5.3860031294282074E-2</v>
      </c>
      <c r="I38" s="461">
        <f>Mali!I42/Mali!H42-1</f>
        <v>6.2806795085286415E-2</v>
      </c>
      <c r="J38" s="452">
        <f>Mali!J42/Mali!I42-1</f>
        <v>6.3004780050824216E-2</v>
      </c>
    </row>
    <row r="39" spans="2:11" ht="15.75" thickBot="1" x14ac:dyDescent="0.3">
      <c r="B39" s="463" t="s">
        <v>369</v>
      </c>
      <c r="C39" s="464"/>
      <c r="D39" s="465">
        <f>Mali!D49/Mali!C49-1</f>
        <v>-7.2529137080041606E-2</v>
      </c>
      <c r="E39" s="466">
        <f>Mali!E49/Mali!D49-1</f>
        <v>0.13927938906971549</v>
      </c>
      <c r="F39" s="466">
        <f>Mali!F49/Mali!E49-1</f>
        <v>0.25622176310364764</v>
      </c>
      <c r="G39" s="466">
        <f>Mali!G49/Mali!F49-1</f>
        <v>0.11202736146534908</v>
      </c>
      <c r="H39" s="467">
        <f>Mali!H49/Mali!G49-1</f>
        <v>0.11563798468794917</v>
      </c>
      <c r="I39" s="466">
        <f>Mali!I49/Mali!H49-1</f>
        <v>8.6241016935012071E-2</v>
      </c>
      <c r="J39" s="468">
        <f>Mali!J49/Mali!I49-1</f>
        <v>0.10839067834179961</v>
      </c>
    </row>
    <row r="40" spans="2:11" s="4" customFormat="1" x14ac:dyDescent="0.25">
      <c r="B40" s="469" t="s">
        <v>374</v>
      </c>
      <c r="C40" s="470"/>
      <c r="D40" s="470"/>
      <c r="E40" s="471"/>
      <c r="F40" s="471"/>
      <c r="G40" s="471"/>
      <c r="H40" s="472"/>
      <c r="I40" s="471"/>
      <c r="J40" s="473"/>
    </row>
    <row r="41" spans="2:11" s="4" customFormat="1" x14ac:dyDescent="0.25">
      <c r="B41" s="409" t="s">
        <v>372</v>
      </c>
      <c r="C41" s="447">
        <f>Mali!C12/Mali!C56</f>
        <v>1.5227130303158152E-2</v>
      </c>
      <c r="D41" s="447">
        <f>Mali!D12/Mali!D56</f>
        <v>1.65324235291976E-2</v>
      </c>
      <c r="E41" s="457">
        <f>Mali!E12/Mali!E56</f>
        <v>1.7009350644857198E-2</v>
      </c>
      <c r="F41" s="457">
        <f>Mali!F12/Mali!F56</f>
        <v>1.7306253858637859E-2</v>
      </c>
      <c r="G41" s="457">
        <f>Mali!G12/Mali!G56</f>
        <v>1.2764589777207524E-2</v>
      </c>
      <c r="H41" s="458">
        <f>Mali!H12/Mali!H56</f>
        <v>2.0006828435161148E-2</v>
      </c>
      <c r="I41" s="457">
        <f>Mali!I12/Mali!I56</f>
        <v>2.330919216850388E-2</v>
      </c>
      <c r="J41" s="448">
        <f>Mali!J12/Mali!J56</f>
        <v>2.1745081567968706E-2</v>
      </c>
    </row>
    <row r="42" spans="2:11" s="4" customFormat="1" x14ac:dyDescent="0.25">
      <c r="B42" s="413" t="s">
        <v>375</v>
      </c>
      <c r="C42" s="449">
        <f>Mali!C22/Mali!C56</f>
        <v>0</v>
      </c>
      <c r="D42" s="449">
        <f>Mali!D22/Mali!D56</f>
        <v>0</v>
      </c>
      <c r="E42" s="449">
        <f>Mali!E22/Mali!E56</f>
        <v>0</v>
      </c>
      <c r="F42" s="449">
        <f>Mali!F22/Mali!F56</f>
        <v>0</v>
      </c>
      <c r="G42" s="449">
        <f>Mali!G22/Mali!G56</f>
        <v>0</v>
      </c>
      <c r="H42" s="474">
        <f>Mali!H22/Mali!H56</f>
        <v>0</v>
      </c>
      <c r="I42" s="459">
        <f>Mali!I22/Mali!I56</f>
        <v>1.4226428841925172E-3</v>
      </c>
      <c r="J42" s="475">
        <f>Mali!J22/Mali!J56</f>
        <v>1.0217491052583292E-2</v>
      </c>
    </row>
    <row r="43" spans="2:11" s="4" customFormat="1" x14ac:dyDescent="0.25">
      <c r="B43" s="413" t="s">
        <v>373</v>
      </c>
      <c r="C43" s="449">
        <f>(Mali!C32+Mali!C30)/Mali!C56</f>
        <v>5.1930341177335346E-2</v>
      </c>
      <c r="D43" s="449">
        <f>(Mali!D32+Mali!D30)/Mali!D56</f>
        <v>5.8906126387025241E-2</v>
      </c>
      <c r="E43" s="449">
        <f>(Mali!E32+Mali!E30)/Mali!E56</f>
        <v>5.8248779629837891E-2</v>
      </c>
      <c r="F43" s="449">
        <f>(Mali!F32+Mali!F30)/Mali!F56</f>
        <v>5.5499198256680933E-2</v>
      </c>
      <c r="G43" s="449">
        <f>(Mali!G32+Mali!G30)/Mali!G56</f>
        <v>4.365767437877608E-2</v>
      </c>
      <c r="H43" s="474">
        <f>(Mali!H32+Mali!H30)/Mali!H56</f>
        <v>5.8839250724766576E-2</v>
      </c>
      <c r="I43" s="459">
        <f>(Mali!I32+Mali!I30)/Mali!I56</f>
        <v>5.7376307062639145E-2</v>
      </c>
      <c r="J43" s="475">
        <f>(Mali!J32+Mali!J30)/Mali!J56</f>
        <v>5.5723099512215775E-2</v>
      </c>
    </row>
    <row r="44" spans="2:11" s="4" customFormat="1" x14ac:dyDescent="0.25">
      <c r="B44" s="413" t="s">
        <v>376</v>
      </c>
      <c r="C44" s="451">
        <f>Mali!C40/Mali!C56</f>
        <v>1.3500182568528139E-2</v>
      </c>
      <c r="D44" s="451">
        <f>Mali!D40/Mali!D56</f>
        <v>1.4442129311829146E-2</v>
      </c>
      <c r="E44" s="461">
        <f>Mali!E40/Mali!E56</f>
        <v>1.8532470640474481E-2</v>
      </c>
      <c r="F44" s="461">
        <f>Mali!F40/Mali!F56</f>
        <v>2.6802843916119954E-2</v>
      </c>
      <c r="G44" s="461">
        <f>Mali!G40/Mali!G56</f>
        <v>2.239358839715707E-2</v>
      </c>
      <c r="H44" s="462">
        <f>Mali!H40/Mali!H56</f>
        <v>2.2123030596129238E-2</v>
      </c>
      <c r="I44" s="461">
        <f>Mali!I40/Mali!I56</f>
        <v>1.9611743072756802E-2</v>
      </c>
      <c r="J44" s="452">
        <f>Mali!J40/Mali!J56</f>
        <v>1.0562893103959452E-2</v>
      </c>
    </row>
    <row r="45" spans="2:11" s="4" customFormat="1" x14ac:dyDescent="0.25">
      <c r="B45" s="413" t="s">
        <v>377</v>
      </c>
      <c r="C45" s="449">
        <f>(Mali!C41+Mali!C39+Mali!C38)/Mali!C56</f>
        <v>1.8569005147635511E-2</v>
      </c>
      <c r="D45" s="451">
        <f>(Mali!D41+Mali!D39+Mali!D38)/Mali!D56</f>
        <v>2.3149185477013817E-2</v>
      </c>
      <c r="E45" s="461">
        <f>(Mali!E41+Mali!E39+Mali!E38)/Mali!E56</f>
        <v>2.3316638842515305E-2</v>
      </c>
      <c r="F45" s="461">
        <f>(Mali!F41+Mali!F39+Mali!F38)/Mali!F56</f>
        <v>2.2587246846983947E-2</v>
      </c>
      <c r="G45" s="461">
        <f>(Mali!G41+Mali!G39+Mali!G38)/Mali!G56</f>
        <v>1.857626050016193E-2</v>
      </c>
      <c r="H45" s="462">
        <f>(Mali!H41+Mali!H39+Mali!H38)/Mali!H56</f>
        <v>2.6304163083720584E-2</v>
      </c>
      <c r="I45" s="461">
        <f>(Mali!I41+Mali!I39+Mali!I38)/Mali!I56</f>
        <v>2.3755171494273666E-2</v>
      </c>
      <c r="J45" s="452">
        <f>(Mali!J41+Mali!J39+Mali!J38)/Mali!J56</f>
        <v>2.4506250838268826E-2</v>
      </c>
    </row>
    <row r="46" spans="2:11" s="4" customFormat="1" ht="15.75" thickBot="1" x14ac:dyDescent="0.3">
      <c r="B46" s="453" t="s">
        <v>378</v>
      </c>
      <c r="C46" s="476"/>
      <c r="D46" s="477" t="e">
        <f ca="1">IF(D52&gt;0,D52/Mali!C78,0)</f>
        <v>#NAME?</v>
      </c>
      <c r="E46" s="477" t="e">
        <f ca="1">IF(E52&gt;0,E52/Mali!D78,0)</f>
        <v>#NAME?</v>
      </c>
      <c r="F46" s="477" t="e">
        <f ca="1">IF(F52&gt;0,F52/Mali!E78,0)</f>
        <v>#NAME?</v>
      </c>
      <c r="G46" s="477" t="e">
        <f ca="1">IF(G52&gt;0,G52/Mali!F78,0)</f>
        <v>#NAME?</v>
      </c>
      <c r="H46" s="478" t="e">
        <f ca="1">IF(H52&gt;0,H52/Mali!G78,0)</f>
        <v>#NAME?</v>
      </c>
      <c r="I46" s="477" t="e">
        <f ca="1">IF(I52&gt;0,I52/Mali!H78,0)</f>
        <v>#NAME?</v>
      </c>
      <c r="J46" s="455" t="e">
        <f ca="1">IF(J52&gt;0,J52/Mali!I78,0)</f>
        <v>#NAME?</v>
      </c>
    </row>
    <row r="47" spans="2:11" s="4" customFormat="1" x14ac:dyDescent="0.25"/>
    <row r="48" spans="2:11" s="4" customFormat="1" x14ac:dyDescent="0.25">
      <c r="C48" s="479"/>
      <c r="D48" s="479"/>
      <c r="E48" s="479"/>
      <c r="F48" s="479"/>
      <c r="G48" s="479"/>
      <c r="H48" s="479"/>
      <c r="I48" s="479"/>
      <c r="J48" s="479"/>
      <c r="K48" s="479"/>
    </row>
    <row r="49" spans="2:11" s="4" customFormat="1" x14ac:dyDescent="0.25">
      <c r="C49" s="479"/>
      <c r="D49" s="479"/>
      <c r="E49" s="479"/>
      <c r="F49" s="479"/>
      <c r="G49" s="479"/>
      <c r="H49" s="479"/>
      <c r="I49" s="479"/>
      <c r="J49" s="479"/>
      <c r="K49" s="479"/>
    </row>
    <row r="50" spans="2:11" s="4" customFormat="1" x14ac:dyDescent="0.25">
      <c r="C50" s="479"/>
      <c r="D50" s="479"/>
      <c r="E50" s="480"/>
      <c r="F50" s="480"/>
      <c r="G50" s="479"/>
      <c r="H50" s="480"/>
      <c r="I50" s="480"/>
      <c r="J50" s="479"/>
      <c r="K50" s="479"/>
    </row>
    <row r="51" spans="2:11" s="4" customFormat="1" x14ac:dyDescent="0.25">
      <c r="B51" s="4" t="s">
        <v>379</v>
      </c>
      <c r="C51" s="481" t="e">
        <f t="shared" ref="C51:J51" ca="1" si="4">FH_Temettu_Bedelli_Brut_Toplam($B$2,C54)/1000000</f>
        <v>#NAME?</v>
      </c>
      <c r="D51" s="481" t="e">
        <f t="shared" ca="1" si="4"/>
        <v>#NAME?</v>
      </c>
      <c r="E51" s="481" t="e">
        <f t="shared" ca="1" si="4"/>
        <v>#NAME?</v>
      </c>
      <c r="F51" s="481" t="e">
        <f t="shared" ca="1" si="4"/>
        <v>#NAME?</v>
      </c>
      <c r="G51" s="481" t="e">
        <f t="shared" ca="1" si="4"/>
        <v>#NAME?</v>
      </c>
      <c r="H51" s="481" t="e">
        <f t="shared" ca="1" si="4"/>
        <v>#NAME?</v>
      </c>
      <c r="I51" s="481" t="e">
        <f t="shared" ca="1" si="4"/>
        <v>#NAME?</v>
      </c>
      <c r="J51" s="481" t="e">
        <f t="shared" ca="1" si="4"/>
        <v>#NAME?</v>
      </c>
      <c r="K51" s="482"/>
    </row>
    <row r="52" spans="2:11" s="4" customFormat="1" x14ac:dyDescent="0.25">
      <c r="B52" s="4" t="s">
        <v>380</v>
      </c>
      <c r="C52" s="483" t="e">
        <f ca="1">C51/Vars!D10</f>
        <v>#NAME?</v>
      </c>
      <c r="D52" s="483" t="e">
        <f ca="1">D51/Vars!E10</f>
        <v>#NAME?</v>
      </c>
      <c r="E52" s="483" t="e">
        <f ca="1">E51/Vars!F10</f>
        <v>#NAME?</v>
      </c>
      <c r="F52" s="483" t="e">
        <f ca="1">F51/Vars!G10</f>
        <v>#NAME?</v>
      </c>
      <c r="G52" s="483" t="e">
        <f ca="1">G51/Vars!H10</f>
        <v>#NAME?</v>
      </c>
      <c r="H52" s="483" t="e">
        <f ca="1">H51/Vars!I10</f>
        <v>#NAME?</v>
      </c>
      <c r="I52" s="483" t="e">
        <f ca="1">I51/Vars!J10</f>
        <v>#NAME?</v>
      </c>
      <c r="J52" s="483" t="e">
        <f ca="1">J51/Vars!K10</f>
        <v>#NAME?</v>
      </c>
      <c r="K52" s="482"/>
    </row>
    <row r="53" spans="2:11" s="4" customFormat="1" x14ac:dyDescent="0.25">
      <c r="D53" s="484"/>
      <c r="E53" s="484"/>
      <c r="F53" s="484"/>
      <c r="G53" s="484"/>
      <c r="H53" s="484"/>
      <c r="I53" s="484"/>
      <c r="K53" s="482"/>
    </row>
    <row r="54" spans="2:11" s="4" customFormat="1" x14ac:dyDescent="0.25">
      <c r="C54" s="6" t="str">
        <f>LEFT(C5,4)</f>
        <v>2008</v>
      </c>
      <c r="D54" s="6" t="str">
        <f t="shared" ref="D54:J54" si="5">LEFT(D5,4)</f>
        <v>2009</v>
      </c>
      <c r="E54" s="6" t="str">
        <f t="shared" si="5"/>
        <v>2010</v>
      </c>
      <c r="F54" s="6" t="str">
        <f t="shared" si="5"/>
        <v>2011</v>
      </c>
      <c r="G54" s="6" t="str">
        <f t="shared" si="5"/>
        <v>2012</v>
      </c>
      <c r="H54" s="6" t="str">
        <f t="shared" si="5"/>
        <v>2013</v>
      </c>
      <c r="I54" s="6" t="str">
        <f t="shared" si="5"/>
        <v>2014</v>
      </c>
      <c r="J54" s="6" t="str">
        <f t="shared" si="5"/>
        <v>2015</v>
      </c>
      <c r="K54" s="482"/>
    </row>
    <row r="55" spans="2:11" s="4" customFormat="1" x14ac:dyDescent="0.25">
      <c r="D55" s="484"/>
      <c r="E55" s="484"/>
      <c r="F55" s="484"/>
      <c r="G55" s="484"/>
      <c r="H55" s="484"/>
      <c r="I55" s="484"/>
      <c r="K55" s="482"/>
    </row>
    <row r="56" spans="2:11" s="4" customFormat="1" x14ac:dyDescent="0.25">
      <c r="D56" s="484"/>
      <c r="F56" s="484"/>
      <c r="G56" s="484"/>
      <c r="H56" s="484"/>
      <c r="I56" s="484"/>
      <c r="K56" s="482"/>
    </row>
    <row r="57" spans="2:11" s="4" customFormat="1" x14ac:dyDescent="0.25">
      <c r="D57" s="484"/>
      <c r="E57" s="484"/>
      <c r="F57" s="484"/>
      <c r="G57" s="484"/>
      <c r="H57" s="484"/>
      <c r="I57" s="484"/>
      <c r="K57" s="482"/>
    </row>
    <row r="58" spans="2:11" s="4" customFormat="1" x14ac:dyDescent="0.25">
      <c r="D58" s="484"/>
      <c r="E58" s="484"/>
      <c r="F58" s="484"/>
      <c r="G58" s="484"/>
      <c r="H58" s="484"/>
      <c r="I58" s="484"/>
      <c r="K58" s="482"/>
    </row>
    <row r="59" spans="2:11" s="4" customFormat="1" x14ac:dyDescent="0.25">
      <c r="D59" s="484"/>
      <c r="E59" s="484"/>
      <c r="F59" s="484"/>
      <c r="G59" s="484"/>
      <c r="H59" s="484"/>
      <c r="I59" s="484"/>
      <c r="K59" s="482"/>
    </row>
    <row r="60" spans="2:11" s="4" customFormat="1" x14ac:dyDescent="0.25">
      <c r="D60" s="484"/>
      <c r="E60" s="484"/>
      <c r="F60" s="484"/>
      <c r="G60" s="484"/>
      <c r="H60" s="484"/>
      <c r="I60" s="484"/>
      <c r="J60" s="482"/>
      <c r="K60" s="482"/>
    </row>
    <row r="61" spans="2:11" s="4" customFormat="1" x14ac:dyDescent="0.25">
      <c r="D61" s="484"/>
      <c r="E61" s="484"/>
      <c r="F61" s="484"/>
      <c r="G61" s="484"/>
      <c r="H61" s="484"/>
      <c r="I61" s="484"/>
      <c r="J61" s="482"/>
      <c r="K61" s="482"/>
    </row>
    <row r="62" spans="2:11" s="4" customFormat="1" x14ac:dyDescent="0.25">
      <c r="D62" s="484"/>
      <c r="E62" s="484"/>
      <c r="F62" s="484"/>
      <c r="G62" s="484"/>
      <c r="H62" s="484"/>
      <c r="I62" s="484"/>
      <c r="J62" s="482"/>
      <c r="K62" s="482"/>
    </row>
    <row r="63" spans="2:11" s="4" customFormat="1" x14ac:dyDescent="0.25">
      <c r="D63" s="484"/>
      <c r="E63" s="484"/>
      <c r="F63" s="484"/>
      <c r="G63" s="484"/>
      <c r="H63" s="484"/>
      <c r="I63" s="484"/>
      <c r="J63" s="482"/>
      <c r="K63" s="482"/>
    </row>
    <row r="64" spans="2:11" s="4" customFormat="1" x14ac:dyDescent="0.25">
      <c r="D64" s="484"/>
      <c r="E64" s="484"/>
      <c r="F64" s="484"/>
      <c r="G64" s="484"/>
      <c r="H64" s="484"/>
      <c r="I64" s="484"/>
      <c r="K64" s="482"/>
    </row>
    <row r="65" spans="4:11" s="4" customFormat="1" x14ac:dyDescent="0.25">
      <c r="D65" s="484"/>
      <c r="E65" s="484"/>
      <c r="F65" s="484"/>
      <c r="G65" s="484"/>
      <c r="H65" s="484"/>
      <c r="I65" s="484"/>
      <c r="J65" s="482"/>
      <c r="K65" s="482"/>
    </row>
    <row r="66" spans="4:11" s="4" customFormat="1" x14ac:dyDescent="0.25">
      <c r="D66" s="484"/>
      <c r="E66" s="484"/>
      <c r="F66" s="484"/>
      <c r="G66" s="484"/>
      <c r="H66" s="484"/>
      <c r="I66" s="484"/>
      <c r="J66" s="482"/>
      <c r="K66" s="482"/>
    </row>
    <row r="67" spans="4:11" s="4" customFormat="1" x14ac:dyDescent="0.25">
      <c r="D67" s="484"/>
      <c r="E67" s="484"/>
      <c r="F67" s="484"/>
      <c r="G67" s="484"/>
      <c r="H67" s="484"/>
      <c r="I67" s="484"/>
      <c r="J67" s="482"/>
    </row>
    <row r="68" spans="4:11" s="4" customFormat="1" x14ac:dyDescent="0.25">
      <c r="D68" s="484"/>
      <c r="E68" s="484"/>
      <c r="F68" s="484"/>
      <c r="G68" s="484"/>
      <c r="H68" s="484"/>
      <c r="I68" s="484"/>
      <c r="J68" s="482"/>
      <c r="K68" s="482"/>
    </row>
    <row r="69" spans="4:11" s="4" customFormat="1" x14ac:dyDescent="0.25">
      <c r="D69" s="484"/>
      <c r="E69" s="484"/>
      <c r="F69" s="484"/>
      <c r="G69" s="484"/>
      <c r="H69" s="484"/>
      <c r="I69" s="484"/>
      <c r="K69" s="482"/>
    </row>
    <row r="70" spans="4:11" s="4" customFormat="1" x14ac:dyDescent="0.25">
      <c r="D70" s="484"/>
      <c r="E70" s="484"/>
      <c r="F70" s="484"/>
      <c r="G70" s="484"/>
      <c r="H70" s="484"/>
      <c r="I70" s="484"/>
      <c r="K70" s="482"/>
    </row>
    <row r="71" spans="4:11" s="4" customFormat="1" x14ac:dyDescent="0.25">
      <c r="D71" s="484"/>
      <c r="E71" s="484"/>
      <c r="F71" s="484"/>
      <c r="G71" s="484"/>
      <c r="H71" s="484"/>
      <c r="I71" s="484"/>
      <c r="K71" s="482"/>
    </row>
    <row r="72" spans="4:11" s="4" customFormat="1" x14ac:dyDescent="0.25">
      <c r="D72" s="484"/>
      <c r="E72" s="484"/>
      <c r="F72" s="484"/>
      <c r="G72" s="484"/>
      <c r="H72" s="484"/>
      <c r="I72" s="484"/>
      <c r="K72" s="482"/>
    </row>
    <row r="73" spans="4:11" s="4" customFormat="1" x14ac:dyDescent="0.25">
      <c r="D73" s="484"/>
      <c r="E73" s="484"/>
      <c r="F73" s="484"/>
      <c r="G73" s="484"/>
      <c r="H73" s="484"/>
      <c r="I73" s="484"/>
      <c r="J73" s="482"/>
    </row>
    <row r="74" spans="4:11" s="4" customFormat="1" x14ac:dyDescent="0.25">
      <c r="D74" s="484"/>
      <c r="E74" s="484"/>
      <c r="F74" s="484"/>
      <c r="G74" s="484"/>
      <c r="H74" s="484"/>
      <c r="I74" s="484"/>
      <c r="K74" s="482"/>
    </row>
    <row r="75" spans="4:11" s="4" customFormat="1" x14ac:dyDescent="0.25">
      <c r="D75" s="484"/>
      <c r="E75" s="484"/>
      <c r="F75" s="484"/>
      <c r="G75" s="484"/>
      <c r="H75" s="484"/>
      <c r="I75" s="484"/>
      <c r="K75" s="482"/>
    </row>
    <row r="76" spans="4:11" s="4" customFormat="1" x14ac:dyDescent="0.25">
      <c r="D76" s="484"/>
      <c r="E76" s="484"/>
      <c r="F76" s="484"/>
      <c r="G76" s="484"/>
      <c r="H76" s="484"/>
      <c r="I76" s="484"/>
      <c r="K76" s="482"/>
    </row>
    <row r="77" spans="4:11" s="4" customFormat="1" x14ac:dyDescent="0.25"/>
    <row r="78" spans="4:11" s="4" customFormat="1" x14ac:dyDescent="0.25"/>
    <row r="79" spans="4:11" s="4" customFormat="1" x14ac:dyDescent="0.25"/>
    <row r="80" spans="4:11" s="4" customFormat="1" x14ac:dyDescent="0.25"/>
    <row r="81" s="4" customFormat="1" x14ac:dyDescent="0.25"/>
    <row r="82" s="4" customFormat="1" x14ac:dyDescent="0.25"/>
    <row r="83" s="4" customFormat="1" x14ac:dyDescent="0.25"/>
    <row r="84" s="4" customFormat="1" x14ac:dyDescent="0.25"/>
    <row r="85" s="4" customFormat="1" x14ac:dyDescent="0.25"/>
    <row r="86" s="4" customFormat="1" x14ac:dyDescent="0.25"/>
    <row r="87" s="4" customFormat="1" x14ac:dyDescent="0.25"/>
    <row r="88" s="4" customFormat="1" x14ac:dyDescent="0.25"/>
    <row r="89" s="4" customFormat="1" x14ac:dyDescent="0.25"/>
    <row r="90" s="4" customFormat="1" x14ac:dyDescent="0.25"/>
    <row r="91" s="4" customFormat="1" x14ac:dyDescent="0.25"/>
    <row r="92" s="4" customFormat="1" x14ac:dyDescent="0.25"/>
    <row r="93" s="4" customFormat="1" x14ac:dyDescent="0.25"/>
    <row r="94" s="4" customFormat="1" x14ac:dyDescent="0.25"/>
    <row r="95" s="4" customFormat="1" x14ac:dyDescent="0.25"/>
    <row r="96" s="4" customFormat="1" x14ac:dyDescent="0.25"/>
    <row r="97" s="4" customFormat="1" x14ac:dyDescent="0.25"/>
    <row r="98" s="4" customFormat="1" x14ac:dyDescent="0.25"/>
    <row r="99" s="4" customFormat="1" x14ac:dyDescent="0.25"/>
    <row r="100" s="4" customFormat="1" x14ac:dyDescent="0.25"/>
    <row r="101" s="4" customFormat="1" x14ac:dyDescent="0.25"/>
    <row r="102" s="4" customFormat="1" x14ac:dyDescent="0.25"/>
    <row r="103" s="4" customFormat="1" x14ac:dyDescent="0.25"/>
    <row r="104" s="4" customFormat="1" x14ac:dyDescent="0.25"/>
    <row r="105" s="4" customFormat="1" x14ac:dyDescent="0.25"/>
    <row r="106" s="4" customFormat="1" x14ac:dyDescent="0.25"/>
    <row r="107" s="4" customFormat="1" x14ac:dyDescent="0.25"/>
    <row r="108" s="4" customFormat="1" x14ac:dyDescent="0.25"/>
    <row r="109" s="4" customFormat="1" x14ac:dyDescent="0.25"/>
    <row r="110" s="4" customFormat="1" x14ac:dyDescent="0.25"/>
    <row r="111" s="4" customFormat="1" x14ac:dyDescent="0.25"/>
    <row r="112" s="4" customFormat="1" x14ac:dyDescent="0.25"/>
    <row r="113" s="4" customFormat="1" x14ac:dyDescent="0.25"/>
    <row r="114" s="4" customFormat="1" x14ac:dyDescent="0.25"/>
    <row r="115" s="4" customFormat="1" x14ac:dyDescent="0.25"/>
    <row r="116" s="4" customFormat="1" x14ac:dyDescent="0.25"/>
    <row r="117" s="4" customFormat="1" x14ac:dyDescent="0.25"/>
    <row r="118" s="4" customFormat="1" x14ac:dyDescent="0.25"/>
    <row r="119" s="4" customFormat="1" x14ac:dyDescent="0.25"/>
    <row r="120" s="4" customFormat="1" x14ac:dyDescent="0.25"/>
    <row r="121" s="4" customFormat="1" x14ac:dyDescent="0.25"/>
    <row r="122" s="4" customFormat="1" x14ac:dyDescent="0.25"/>
    <row r="123" s="4" customFormat="1" x14ac:dyDescent="0.25"/>
    <row r="124" s="4" customFormat="1" x14ac:dyDescent="0.25"/>
    <row r="125" s="4" customFormat="1" x14ac:dyDescent="0.25"/>
    <row r="126" s="4" customFormat="1" x14ac:dyDescent="0.25"/>
    <row r="127" s="4" customFormat="1" x14ac:dyDescent="0.25"/>
    <row r="128" s="4" customFormat="1" x14ac:dyDescent="0.25"/>
    <row r="129" s="4" customFormat="1" x14ac:dyDescent="0.25"/>
    <row r="130" s="4" customFormat="1" x14ac:dyDescent="0.25"/>
    <row r="131" s="4" customFormat="1" x14ac:dyDescent="0.25"/>
    <row r="132" s="4" customFormat="1" x14ac:dyDescent="0.25"/>
    <row r="133" s="4" customFormat="1" x14ac:dyDescent="0.25"/>
    <row r="134" s="4" customFormat="1" x14ac:dyDescent="0.25"/>
    <row r="135" s="4" customFormat="1" x14ac:dyDescent="0.25"/>
    <row r="136" s="4" customFormat="1" x14ac:dyDescent="0.25"/>
    <row r="137" s="4" customFormat="1" x14ac:dyDescent="0.25"/>
    <row r="138" s="4" customFormat="1" x14ac:dyDescent="0.25"/>
    <row r="139" s="4" customFormat="1" x14ac:dyDescent="0.25"/>
    <row r="140" s="4" customFormat="1" x14ac:dyDescent="0.25"/>
    <row r="141" s="4" customFormat="1" x14ac:dyDescent="0.25"/>
    <row r="142" s="4" customFormat="1" x14ac:dyDescent="0.25"/>
    <row r="143" s="4" customFormat="1" x14ac:dyDescent="0.25"/>
    <row r="144" s="4" customFormat="1" x14ac:dyDescent="0.25"/>
    <row r="145" s="4" customFormat="1" x14ac:dyDescent="0.25"/>
    <row r="146" s="4" customFormat="1" x14ac:dyDescent="0.25"/>
    <row r="147" s="4" customFormat="1" x14ac:dyDescent="0.25"/>
    <row r="148" s="4" customFormat="1" x14ac:dyDescent="0.25"/>
    <row r="149" s="4" customFormat="1" x14ac:dyDescent="0.25"/>
    <row r="150" s="4" customFormat="1" x14ac:dyDescent="0.25"/>
    <row r="151" s="4" customFormat="1" x14ac:dyDescent="0.25"/>
    <row r="152" s="4" customFormat="1" x14ac:dyDescent="0.25"/>
    <row r="153" s="4" customFormat="1" x14ac:dyDescent="0.25"/>
    <row r="154" s="4" customFormat="1" x14ac:dyDescent="0.25"/>
    <row r="155" s="4" customFormat="1" x14ac:dyDescent="0.25"/>
    <row r="156" s="4" customFormat="1" x14ac:dyDescent="0.25"/>
    <row r="157" s="4" customFormat="1" x14ac:dyDescent="0.25"/>
    <row r="158" s="4" customFormat="1" x14ac:dyDescent="0.25"/>
    <row r="159" s="4" customFormat="1" x14ac:dyDescent="0.25"/>
    <row r="160" s="4" customFormat="1" x14ac:dyDescent="0.25"/>
    <row r="161" s="4" customFormat="1" x14ac:dyDescent="0.25"/>
    <row r="162" s="4" customFormat="1" x14ac:dyDescent="0.25"/>
    <row r="163" s="4" customFormat="1" x14ac:dyDescent="0.25"/>
    <row r="164" s="4" customFormat="1" x14ac:dyDescent="0.25"/>
    <row r="165" s="4" customFormat="1" x14ac:dyDescent="0.25"/>
    <row r="166" s="4" customFormat="1" x14ac:dyDescent="0.25"/>
    <row r="167" s="4" customFormat="1" x14ac:dyDescent="0.25"/>
    <row r="168" s="4" customFormat="1" x14ac:dyDescent="0.25"/>
    <row r="169" s="4" customFormat="1" x14ac:dyDescent="0.25"/>
    <row r="170" s="4" customFormat="1" x14ac:dyDescent="0.25"/>
    <row r="171" s="4" customFormat="1" x14ac:dyDescent="0.25"/>
    <row r="172" s="4" customFormat="1" x14ac:dyDescent="0.25"/>
    <row r="173" s="4" customFormat="1" x14ac:dyDescent="0.25"/>
    <row r="174" s="4" customFormat="1" x14ac:dyDescent="0.25"/>
    <row r="175" s="4" customFormat="1" x14ac:dyDescent="0.25"/>
    <row r="176" s="4" customFormat="1" x14ac:dyDescent="0.25"/>
    <row r="177" s="4" customFormat="1" x14ac:dyDescent="0.25"/>
    <row r="178" s="4" customFormat="1" x14ac:dyDescent="0.25"/>
    <row r="179" s="4" customFormat="1" x14ac:dyDescent="0.25"/>
    <row r="180" s="4" customFormat="1" x14ac:dyDescent="0.25"/>
    <row r="181" s="4" customFormat="1" x14ac:dyDescent="0.25"/>
    <row r="182" s="4" customFormat="1" x14ac:dyDescent="0.25"/>
    <row r="183" s="4" customFormat="1" x14ac:dyDescent="0.25"/>
    <row r="184" s="4" customFormat="1" x14ac:dyDescent="0.25"/>
    <row r="185" s="4" customFormat="1" x14ac:dyDescent="0.25"/>
    <row r="186" s="4" customFormat="1" x14ac:dyDescent="0.25"/>
    <row r="187" s="4" customFormat="1" x14ac:dyDescent="0.25"/>
    <row r="188" s="4" customFormat="1" x14ac:dyDescent="0.25"/>
    <row r="189" s="4" customFormat="1" x14ac:dyDescent="0.25"/>
    <row r="190" s="4" customFormat="1" x14ac:dyDescent="0.25"/>
    <row r="191" s="4" customFormat="1" x14ac:dyDescent="0.25"/>
    <row r="192" s="4" customFormat="1" x14ac:dyDescent="0.25"/>
    <row r="193" s="4" customFormat="1" x14ac:dyDescent="0.25"/>
    <row r="194" s="4" customFormat="1" x14ac:dyDescent="0.25"/>
    <row r="195" s="4" customFormat="1" x14ac:dyDescent="0.25"/>
    <row r="196" s="4" customFormat="1" x14ac:dyDescent="0.25"/>
    <row r="197" s="4" customFormat="1" x14ac:dyDescent="0.25"/>
    <row r="198" s="4" customFormat="1" x14ac:dyDescent="0.25"/>
    <row r="199" s="4" customFormat="1" x14ac:dyDescent="0.25"/>
    <row r="200" s="4" customFormat="1" x14ac:dyDescent="0.25"/>
    <row r="201" s="4" customFormat="1" x14ac:dyDescent="0.25"/>
    <row r="202" s="4" customFormat="1" x14ac:dyDescent="0.25"/>
    <row r="203" s="4" customFormat="1" x14ac:dyDescent="0.25"/>
    <row r="204" s="4" customFormat="1" x14ac:dyDescent="0.25"/>
    <row r="205" s="4" customFormat="1" x14ac:dyDescent="0.25"/>
    <row r="206" s="4" customFormat="1" x14ac:dyDescent="0.25"/>
    <row r="207" s="4" customFormat="1" x14ac:dyDescent="0.25"/>
    <row r="208" s="4" customFormat="1" x14ac:dyDescent="0.25"/>
    <row r="209" s="4" customFormat="1" x14ac:dyDescent="0.25"/>
    <row r="210" s="4" customFormat="1" x14ac:dyDescent="0.25"/>
    <row r="211" s="4" customFormat="1" x14ac:dyDescent="0.25"/>
    <row r="212" s="4" customFormat="1" x14ac:dyDescent="0.25"/>
    <row r="213" s="4" customFormat="1" x14ac:dyDescent="0.25"/>
    <row r="214" s="4" customFormat="1" x14ac:dyDescent="0.25"/>
    <row r="215" s="4" customFormat="1" x14ac:dyDescent="0.25"/>
    <row r="216" s="4" customFormat="1" x14ac:dyDescent="0.25"/>
    <row r="217" s="4" customFormat="1" x14ac:dyDescent="0.25"/>
    <row r="218" s="4" customFormat="1" x14ac:dyDescent="0.25"/>
    <row r="219" s="4" customFormat="1" x14ac:dyDescent="0.25"/>
    <row r="220" s="4" customFormat="1" x14ac:dyDescent="0.25"/>
    <row r="221" s="4" customFormat="1" x14ac:dyDescent="0.25"/>
    <row r="222" s="4" customFormat="1" x14ac:dyDescent="0.25"/>
    <row r="223" s="4" customFormat="1" x14ac:dyDescent="0.25"/>
    <row r="224" s="4" customFormat="1" x14ac:dyDescent="0.25"/>
    <row r="225" s="4" customFormat="1" x14ac:dyDescent="0.25"/>
    <row r="226" s="4" customFormat="1" x14ac:dyDescent="0.25"/>
    <row r="227" s="4" customFormat="1" x14ac:dyDescent="0.25"/>
    <row r="228" s="4" customFormat="1" x14ac:dyDescent="0.25"/>
    <row r="229" s="4" customFormat="1" x14ac:dyDescent="0.25"/>
    <row r="230" s="4" customFormat="1" x14ac:dyDescent="0.25"/>
    <row r="231" s="4" customFormat="1" x14ac:dyDescent="0.25"/>
    <row r="232" s="4" customFormat="1" x14ac:dyDescent="0.25"/>
    <row r="233" s="4" customFormat="1" x14ac:dyDescent="0.25"/>
    <row r="234" s="4" customFormat="1" x14ac:dyDescent="0.25"/>
    <row r="235" s="4" customFormat="1" x14ac:dyDescent="0.25"/>
    <row r="236" s="4" customFormat="1" x14ac:dyDescent="0.25"/>
    <row r="237" s="4" customFormat="1" x14ac:dyDescent="0.25"/>
    <row r="238" s="4" customFormat="1" x14ac:dyDescent="0.25"/>
    <row r="239" s="4" customFormat="1" x14ac:dyDescent="0.25"/>
    <row r="240" s="4" customFormat="1" x14ac:dyDescent="0.25"/>
    <row r="241" s="4" customFormat="1" x14ac:dyDescent="0.25"/>
    <row r="242" s="4" customFormat="1" x14ac:dyDescent="0.25"/>
    <row r="243" s="4" customFormat="1" x14ac:dyDescent="0.25"/>
    <row r="244" s="4" customFormat="1" x14ac:dyDescent="0.25"/>
    <row r="245" s="4" customFormat="1" x14ac:dyDescent="0.25"/>
    <row r="246" s="4" customFormat="1" x14ac:dyDescent="0.25"/>
    <row r="247" s="4" customFormat="1" x14ac:dyDescent="0.25"/>
    <row r="248" s="4" customFormat="1" x14ac:dyDescent="0.25"/>
    <row r="249" s="4" customFormat="1" x14ac:dyDescent="0.25"/>
    <row r="250" s="4" customFormat="1" x14ac:dyDescent="0.25"/>
    <row r="251" s="4" customFormat="1" x14ac:dyDescent="0.25"/>
    <row r="252" s="4" customFormat="1" x14ac:dyDescent="0.25"/>
    <row r="253" s="4" customFormat="1" x14ac:dyDescent="0.25"/>
    <row r="254" s="4" customFormat="1" x14ac:dyDescent="0.25"/>
    <row r="255" s="4" customFormat="1" x14ac:dyDescent="0.25"/>
    <row r="256" s="4" customFormat="1" x14ac:dyDescent="0.25"/>
    <row r="257" s="4" customFormat="1" x14ac:dyDescent="0.25"/>
    <row r="258" s="4" customFormat="1" x14ac:dyDescent="0.25"/>
    <row r="259" s="4" customFormat="1" x14ac:dyDescent="0.25"/>
    <row r="260" s="4" customFormat="1" x14ac:dyDescent="0.25"/>
    <row r="261" s="4" customFormat="1" x14ac:dyDescent="0.25"/>
    <row r="262" s="4" customFormat="1" x14ac:dyDescent="0.25"/>
    <row r="263" s="4" customFormat="1" x14ac:dyDescent="0.25"/>
    <row r="264" s="4" customFormat="1" x14ac:dyDescent="0.25"/>
    <row r="265" s="4" customFormat="1" x14ac:dyDescent="0.25"/>
    <row r="266" s="4" customFormat="1" x14ac:dyDescent="0.25"/>
    <row r="267" s="4" customFormat="1" x14ac:dyDescent="0.25"/>
    <row r="268" s="4" customFormat="1" x14ac:dyDescent="0.25"/>
    <row r="269" s="4" customFormat="1" x14ac:dyDescent="0.25"/>
    <row r="270" s="4" customFormat="1" x14ac:dyDescent="0.25"/>
    <row r="271" s="4" customFormat="1" x14ac:dyDescent="0.25"/>
    <row r="272" s="4" customFormat="1" x14ac:dyDescent="0.25"/>
    <row r="273" s="4" customFormat="1" x14ac:dyDescent="0.25"/>
    <row r="274" s="4" customFormat="1" x14ac:dyDescent="0.25"/>
    <row r="275" s="4" customFormat="1" x14ac:dyDescent="0.25"/>
    <row r="276" s="4" customFormat="1" x14ac:dyDescent="0.25"/>
    <row r="277" s="4" customFormat="1" x14ac:dyDescent="0.25"/>
    <row r="278" s="4" customFormat="1" x14ac:dyDescent="0.25"/>
    <row r="279" s="4" customFormat="1" x14ac:dyDescent="0.25"/>
    <row r="280" s="4" customFormat="1" x14ac:dyDescent="0.25"/>
    <row r="281" s="4" customFormat="1" x14ac:dyDescent="0.25"/>
    <row r="282" s="4" customFormat="1" x14ac:dyDescent="0.25"/>
    <row r="283" s="4" customFormat="1" x14ac:dyDescent="0.25"/>
    <row r="284" s="4" customFormat="1" x14ac:dyDescent="0.25"/>
    <row r="285" s="4" customFormat="1" x14ac:dyDescent="0.25"/>
    <row r="286" s="4" customFormat="1" x14ac:dyDescent="0.25"/>
    <row r="287" s="4" customFormat="1" x14ac:dyDescent="0.25"/>
    <row r="288" s="4" customFormat="1" x14ac:dyDescent="0.25"/>
    <row r="289" s="4" customFormat="1" x14ac:dyDescent="0.25"/>
    <row r="290" s="4" customFormat="1" x14ac:dyDescent="0.25"/>
    <row r="291" s="4" customFormat="1" x14ac:dyDescent="0.25"/>
    <row r="292" s="4" customFormat="1" x14ac:dyDescent="0.25"/>
    <row r="293" s="4" customFormat="1" x14ac:dyDescent="0.25"/>
    <row r="294" s="4" customFormat="1" x14ac:dyDescent="0.25"/>
    <row r="295" s="4" customFormat="1" x14ac:dyDescent="0.25"/>
    <row r="296" s="4" customFormat="1" x14ac:dyDescent="0.25"/>
    <row r="297" s="4" customFormat="1" x14ac:dyDescent="0.25"/>
    <row r="298" s="4" customFormat="1" x14ac:dyDescent="0.25"/>
    <row r="299" s="4" customFormat="1" x14ac:dyDescent="0.25"/>
    <row r="300" s="4" customFormat="1" x14ac:dyDescent="0.25"/>
    <row r="301" s="4" customFormat="1" x14ac:dyDescent="0.25"/>
    <row r="302" s="4" customFormat="1" x14ac:dyDescent="0.25"/>
    <row r="303" s="4" customFormat="1" x14ac:dyDescent="0.25"/>
    <row r="304" s="4" customFormat="1" x14ac:dyDescent="0.25"/>
    <row r="305" s="4" customFormat="1" x14ac:dyDescent="0.25"/>
    <row r="306" s="4" customFormat="1" x14ac:dyDescent="0.25"/>
    <row r="307" s="4" customFormat="1" x14ac:dyDescent="0.25"/>
    <row r="308" s="4" customFormat="1" x14ac:dyDescent="0.25"/>
    <row r="309" s="4" customFormat="1" x14ac:dyDescent="0.25"/>
    <row r="310" s="4" customFormat="1" x14ac:dyDescent="0.25"/>
    <row r="311" s="4" customFormat="1" x14ac:dyDescent="0.25"/>
    <row r="312" s="4" customFormat="1" x14ac:dyDescent="0.25"/>
    <row r="313" s="4" customFormat="1" x14ac:dyDescent="0.25"/>
    <row r="314" s="4" customFormat="1" x14ac:dyDescent="0.25"/>
    <row r="315" s="4" customFormat="1" x14ac:dyDescent="0.25"/>
    <row r="316" s="4" customFormat="1" x14ac:dyDescent="0.25"/>
    <row r="317" s="4" customFormat="1" x14ac:dyDescent="0.25"/>
    <row r="318" s="4" customFormat="1" x14ac:dyDescent="0.25"/>
    <row r="319" s="4" customFormat="1" x14ac:dyDescent="0.25"/>
    <row r="320" s="4" customFormat="1" x14ac:dyDescent="0.25"/>
    <row r="321" s="4" customFormat="1" x14ac:dyDescent="0.25"/>
    <row r="322" s="4" customFormat="1" x14ac:dyDescent="0.25"/>
    <row r="323" s="4" customFormat="1" x14ac:dyDescent="0.25"/>
    <row r="324" s="4" customFormat="1" x14ac:dyDescent="0.25"/>
    <row r="325" s="4" customFormat="1" x14ac:dyDescent="0.25"/>
    <row r="326" s="4" customFormat="1" x14ac:dyDescent="0.25"/>
    <row r="327" s="4" customFormat="1" x14ac:dyDescent="0.25"/>
    <row r="328" s="4" customFormat="1" x14ac:dyDescent="0.25"/>
    <row r="329" s="4" customFormat="1" x14ac:dyDescent="0.25"/>
    <row r="330" s="4" customFormat="1" x14ac:dyDescent="0.25"/>
    <row r="331" s="4" customFormat="1" x14ac:dyDescent="0.25"/>
    <row r="332" s="4" customFormat="1" x14ac:dyDescent="0.25"/>
    <row r="333" s="4" customFormat="1" x14ac:dyDescent="0.25"/>
    <row r="334" s="4" customFormat="1" x14ac:dyDescent="0.25"/>
    <row r="335" s="4" customFormat="1" x14ac:dyDescent="0.25"/>
    <row r="336" s="4" customFormat="1" x14ac:dyDescent="0.25"/>
    <row r="337" s="4" customFormat="1" x14ac:dyDescent="0.25"/>
    <row r="338" s="4" customFormat="1" x14ac:dyDescent="0.25"/>
    <row r="339" s="4" customFormat="1" x14ac:dyDescent="0.25"/>
    <row r="340" s="4" customFormat="1" x14ac:dyDescent="0.25"/>
    <row r="341" s="4" customFormat="1" x14ac:dyDescent="0.25"/>
    <row r="342" s="4" customFormat="1" x14ac:dyDescent="0.25"/>
    <row r="343" s="4" customFormat="1" x14ac:dyDescent="0.25"/>
    <row r="344" s="4" customFormat="1" x14ac:dyDescent="0.25"/>
    <row r="345" s="4" customFormat="1" x14ac:dyDescent="0.25"/>
    <row r="346" s="4" customFormat="1" x14ac:dyDescent="0.25"/>
    <row r="347" s="4" customFormat="1" x14ac:dyDescent="0.25"/>
    <row r="348" s="4" customFormat="1" x14ac:dyDescent="0.25"/>
    <row r="349" s="4" customFormat="1" x14ac:dyDescent="0.25"/>
    <row r="350" s="4" customFormat="1" x14ac:dyDescent="0.25"/>
    <row r="351" s="4" customFormat="1" x14ac:dyDescent="0.25"/>
    <row r="352" s="4" customFormat="1" x14ac:dyDescent="0.25"/>
    <row r="353" s="4" customFormat="1" x14ac:dyDescent="0.25"/>
    <row r="354" s="4" customFormat="1" x14ac:dyDescent="0.25"/>
    <row r="355" s="4" customFormat="1" x14ac:dyDescent="0.25"/>
    <row r="356" s="4" customFormat="1" x14ac:dyDescent="0.25"/>
    <row r="357" s="4" customFormat="1" x14ac:dyDescent="0.25"/>
    <row r="358" s="4" customFormat="1" x14ac:dyDescent="0.25"/>
    <row r="359" s="4" customFormat="1" x14ac:dyDescent="0.25"/>
    <row r="360" s="4" customFormat="1" x14ac:dyDescent="0.25"/>
    <row r="361" s="4" customFormat="1" x14ac:dyDescent="0.25"/>
    <row r="362" s="4" customFormat="1" x14ac:dyDescent="0.25"/>
    <row r="363" s="4" customFormat="1" x14ac:dyDescent="0.25"/>
    <row r="364" s="4" customFormat="1" x14ac:dyDescent="0.25"/>
    <row r="365" s="4" customFormat="1" x14ac:dyDescent="0.25"/>
    <row r="366" s="4" customFormat="1" x14ac:dyDescent="0.25"/>
    <row r="367" s="4" customFormat="1" x14ac:dyDescent="0.25"/>
    <row r="368" s="4" customFormat="1" x14ac:dyDescent="0.25"/>
    <row r="369" s="4" customFormat="1" x14ac:dyDescent="0.25"/>
    <row r="370" s="4" customFormat="1" x14ac:dyDescent="0.25"/>
    <row r="371" s="4" customFormat="1" x14ac:dyDescent="0.25"/>
    <row r="372" s="4" customFormat="1" x14ac:dyDescent="0.25"/>
    <row r="373" s="4" customFormat="1" x14ac:dyDescent="0.25"/>
    <row r="374" s="4" customFormat="1" x14ac:dyDescent="0.25"/>
    <row r="375" s="4" customFormat="1" x14ac:dyDescent="0.25"/>
    <row r="376" s="4" customFormat="1" x14ac:dyDescent="0.25"/>
    <row r="377" s="4" customFormat="1" x14ac:dyDescent="0.25"/>
    <row r="378" s="4" customFormat="1" x14ac:dyDescent="0.25"/>
    <row r="379" s="4" customFormat="1" x14ac:dyDescent="0.25"/>
    <row r="380" s="4" customFormat="1" x14ac:dyDescent="0.25"/>
    <row r="381" s="4" customFormat="1" x14ac:dyDescent="0.25"/>
    <row r="382" s="4" customFormat="1" x14ac:dyDescent="0.25"/>
    <row r="383" s="4" customFormat="1" x14ac:dyDescent="0.25"/>
    <row r="384" s="4" customFormat="1" x14ac:dyDescent="0.25"/>
    <row r="385" s="4" customFormat="1" x14ac:dyDescent="0.25"/>
    <row r="386" s="4" customFormat="1" x14ac:dyDescent="0.25"/>
    <row r="387" s="4" customFormat="1" x14ac:dyDescent="0.25"/>
    <row r="388" s="4" customFormat="1" x14ac:dyDescent="0.25"/>
    <row r="389" s="4" customFormat="1" x14ac:dyDescent="0.25"/>
    <row r="390" s="4" customFormat="1" x14ac:dyDescent="0.25"/>
  </sheetData>
  <mergeCells count="1">
    <mergeCell ref="B4:G4"/>
  </mergeCells>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O48"/>
  <sheetViews>
    <sheetView zoomScale="80" zoomScaleNormal="80" workbookViewId="0">
      <selection activeCell="F31" sqref="F31"/>
    </sheetView>
  </sheetViews>
  <sheetFormatPr defaultColWidth="8.85546875" defaultRowHeight="15" x14ac:dyDescent="0.25"/>
  <cols>
    <col min="1" max="1" width="1.85546875" style="4" customWidth="1"/>
    <col min="2" max="2" width="33.140625" style="4" bestFit="1" customWidth="1"/>
    <col min="3" max="5" width="9" style="2" bestFit="1" customWidth="1"/>
    <col min="6" max="16384" width="8.85546875" style="4"/>
  </cols>
  <sheetData>
    <row r="2" spans="2:15" ht="12.6" customHeight="1" thickBot="1" x14ac:dyDescent="0.3"/>
    <row r="3" spans="2:15" ht="16.5" thickBot="1" x14ac:dyDescent="0.3">
      <c r="B3" s="274" t="s">
        <v>204</v>
      </c>
      <c r="C3" s="275" t="str">
        <f>Mali!H53</f>
        <v>2013/12</v>
      </c>
      <c r="D3" s="276" t="str">
        <f>Mali!I53</f>
        <v>2014/12</v>
      </c>
      <c r="E3" s="277" t="str">
        <f>Mali!J53</f>
        <v>2015/12</v>
      </c>
      <c r="F3" s="276" t="e">
        <f>Mali!#REF!</f>
        <v>#REF!</v>
      </c>
      <c r="G3" s="276" t="e">
        <f>Mali!#REF!</f>
        <v>#REF!</v>
      </c>
      <c r="H3" s="276" t="e">
        <f>Mali!#REF!</f>
        <v>#REF!</v>
      </c>
      <c r="I3" s="276" t="e">
        <f>Mali!#REF!</f>
        <v>#REF!</v>
      </c>
      <c r="J3" s="276" t="e">
        <f>Mali!#REF!</f>
        <v>#REF!</v>
      </c>
      <c r="K3" s="276" t="e">
        <f>Mali!#REF!</f>
        <v>#REF!</v>
      </c>
      <c r="L3" s="276" t="e">
        <f>Mali!#REF!</f>
        <v>#REF!</v>
      </c>
      <c r="M3" s="276" t="e">
        <f>Mali!#REF!</f>
        <v>#REF!</v>
      </c>
      <c r="N3" s="276" t="e">
        <f>Mali!#REF!</f>
        <v>#REF!</v>
      </c>
      <c r="O3" s="278" t="e">
        <f>Mali!#REF!</f>
        <v>#REF!</v>
      </c>
    </row>
    <row r="4" spans="2:15" s="7" customFormat="1" x14ac:dyDescent="0.25">
      <c r="B4" s="279" t="s">
        <v>222</v>
      </c>
      <c r="C4" s="280">
        <f>+Mali!H56</f>
        <v>11097.710999999999</v>
      </c>
      <c r="D4" s="281">
        <f>+Mali!I56</f>
        <v>12514.032999999999</v>
      </c>
      <c r="E4" s="282">
        <f>+Mali!J56</f>
        <v>14166.1</v>
      </c>
      <c r="F4" s="281" t="e">
        <f>+Mali!#REF!</f>
        <v>#REF!</v>
      </c>
      <c r="G4" s="281" t="e">
        <f>+Mali!#REF!</f>
        <v>#REF!</v>
      </c>
      <c r="H4" s="281" t="e">
        <f>+Mali!#REF!</f>
        <v>#REF!</v>
      </c>
      <c r="I4" s="281" t="e">
        <f>+Mali!#REF!</f>
        <v>#REF!</v>
      </c>
      <c r="J4" s="281" t="e">
        <f>+Mali!#REF!</f>
        <v>#REF!</v>
      </c>
      <c r="K4" s="281" t="e">
        <f>+Mali!#REF!</f>
        <v>#REF!</v>
      </c>
      <c r="L4" s="281" t="e">
        <f>+Mali!#REF!</f>
        <v>#REF!</v>
      </c>
      <c r="M4" s="281" t="e">
        <f>+Mali!#REF!</f>
        <v>#REF!</v>
      </c>
      <c r="N4" s="281" t="e">
        <f>+Mali!#REF!</f>
        <v>#REF!</v>
      </c>
      <c r="O4" s="283" t="e">
        <f>+Mali!#REF!</f>
        <v>#REF!</v>
      </c>
    </row>
    <row r="5" spans="2:15" x14ac:dyDescent="0.25">
      <c r="B5" s="284" t="s">
        <v>205</v>
      </c>
      <c r="C5" s="285">
        <f>+Mali!H57</f>
        <v>7709.326</v>
      </c>
      <c r="D5" s="286">
        <f>+Mali!I57</f>
        <v>8535.2009999999991</v>
      </c>
      <c r="E5" s="287">
        <f>+Mali!J57</f>
        <v>9630.2070000000003</v>
      </c>
      <c r="F5" s="286" t="e">
        <f>+Mali!#REF!</f>
        <v>#REF!</v>
      </c>
      <c r="G5" s="286" t="e">
        <f>+Mali!#REF!</f>
        <v>#REF!</v>
      </c>
      <c r="H5" s="286" t="e">
        <f>+Mali!#REF!</f>
        <v>#REF!</v>
      </c>
      <c r="I5" s="286" t="e">
        <f>+Mali!#REF!</f>
        <v>#REF!</v>
      </c>
      <c r="J5" s="286" t="e">
        <f>+Mali!#REF!</f>
        <v>#REF!</v>
      </c>
      <c r="K5" s="286" t="e">
        <f>+Mali!#REF!</f>
        <v>#REF!</v>
      </c>
      <c r="L5" s="286" t="e">
        <f>+Mali!#REF!</f>
        <v>#REF!</v>
      </c>
      <c r="M5" s="286" t="e">
        <f>+Mali!#REF!</f>
        <v>#REF!</v>
      </c>
      <c r="N5" s="286" t="e">
        <f>+Mali!#REF!</f>
        <v>#REF!</v>
      </c>
      <c r="O5" s="288" t="e">
        <f>+Mali!#REF!</f>
        <v>#REF!</v>
      </c>
    </row>
    <row r="6" spans="2:15" s="7" customFormat="1" x14ac:dyDescent="0.25">
      <c r="B6" s="279" t="s">
        <v>206</v>
      </c>
      <c r="C6" s="280">
        <f>+Mali!H58</f>
        <v>3388.3849999999993</v>
      </c>
      <c r="D6" s="281">
        <f>+Mali!I58</f>
        <v>3978.8320000000003</v>
      </c>
      <c r="E6" s="282">
        <f>+Mali!J58</f>
        <v>4535.893</v>
      </c>
      <c r="F6" s="281" t="e">
        <f>+Mali!#REF!</f>
        <v>#REF!</v>
      </c>
      <c r="G6" s="281" t="e">
        <f>+Mali!#REF!</f>
        <v>#REF!</v>
      </c>
      <c r="H6" s="281" t="e">
        <f>+Mali!#REF!</f>
        <v>#REF!</v>
      </c>
      <c r="I6" s="281" t="e">
        <f>+Mali!#REF!</f>
        <v>#REF!</v>
      </c>
      <c r="J6" s="281" t="e">
        <f>+Mali!#REF!</f>
        <v>#REF!</v>
      </c>
      <c r="K6" s="281" t="e">
        <f>+Mali!#REF!</f>
        <v>#REF!</v>
      </c>
      <c r="L6" s="281" t="e">
        <f>+Mali!#REF!</f>
        <v>#REF!</v>
      </c>
      <c r="M6" s="281" t="e">
        <f>+Mali!#REF!</f>
        <v>#REF!</v>
      </c>
      <c r="N6" s="281" t="e">
        <f>+Mali!#REF!</f>
        <v>#REF!</v>
      </c>
      <c r="O6" s="283" t="e">
        <f>+Mali!#REF!</f>
        <v>#REF!</v>
      </c>
    </row>
    <row r="7" spans="2:15" s="7" customFormat="1" x14ac:dyDescent="0.25">
      <c r="B7" s="279" t="s">
        <v>207</v>
      </c>
      <c r="C7" s="280">
        <f>+Mali!H59</f>
        <v>2527.2379999999998</v>
      </c>
      <c r="D7" s="281">
        <f>+Mali!I59</f>
        <v>2991.0909999999999</v>
      </c>
      <c r="E7" s="282">
        <f>+Mali!J59</f>
        <v>3449.2550000000001</v>
      </c>
      <c r="F7" s="281" t="e">
        <f>+Mali!#REF!</f>
        <v>#REF!</v>
      </c>
      <c r="G7" s="281" t="e">
        <f>+Mali!#REF!</f>
        <v>#REF!</v>
      </c>
      <c r="H7" s="281" t="e">
        <f>+Mali!#REF!</f>
        <v>#REF!</v>
      </c>
      <c r="I7" s="281" t="e">
        <f>+Mali!#REF!</f>
        <v>#REF!</v>
      </c>
      <c r="J7" s="281" t="e">
        <f>+Mali!#REF!</f>
        <v>#REF!</v>
      </c>
      <c r="K7" s="281" t="e">
        <f>+Mali!#REF!</f>
        <v>#REF!</v>
      </c>
      <c r="L7" s="281" t="e">
        <f>+Mali!#REF!</f>
        <v>#REF!</v>
      </c>
      <c r="M7" s="281" t="e">
        <f>+Mali!#REF!</f>
        <v>#REF!</v>
      </c>
      <c r="N7" s="281" t="e">
        <f>+Mali!#REF!</f>
        <v>#REF!</v>
      </c>
      <c r="O7" s="283" t="e">
        <f>+Mali!#REF!</f>
        <v>#REF!</v>
      </c>
    </row>
    <row r="8" spans="2:15" x14ac:dyDescent="0.25">
      <c r="B8" s="284" t="s">
        <v>224</v>
      </c>
      <c r="C8" s="285">
        <f>+Mali!H60</f>
        <v>83.206999999999994</v>
      </c>
      <c r="D8" s="286">
        <f>+Mali!I60</f>
        <v>102.05500000000001</v>
      </c>
      <c r="E8" s="287">
        <f>+Mali!J60</f>
        <v>125.173</v>
      </c>
      <c r="F8" s="286" t="e">
        <f>+Mali!#REF!</f>
        <v>#REF!</v>
      </c>
      <c r="G8" s="286" t="e">
        <f>+Mali!#REF!</f>
        <v>#REF!</v>
      </c>
      <c r="H8" s="286" t="e">
        <f>+Mali!#REF!</f>
        <v>#REF!</v>
      </c>
      <c r="I8" s="286" t="e">
        <f>+Mali!#REF!</f>
        <v>#REF!</v>
      </c>
      <c r="J8" s="286" t="e">
        <f>+Mali!#REF!</f>
        <v>#REF!</v>
      </c>
      <c r="K8" s="286" t="e">
        <f>+Mali!#REF!</f>
        <v>#REF!</v>
      </c>
      <c r="L8" s="286" t="e">
        <f>+Mali!#REF!</f>
        <v>#REF!</v>
      </c>
      <c r="M8" s="286" t="e">
        <f>+Mali!#REF!</f>
        <v>#REF!</v>
      </c>
      <c r="N8" s="286" t="e">
        <f>+Mali!#REF!</f>
        <v>#REF!</v>
      </c>
      <c r="O8" s="288" t="e">
        <f>+Mali!#REF!</f>
        <v>#REF!</v>
      </c>
    </row>
    <row r="9" spans="2:15" x14ac:dyDescent="0.25">
      <c r="B9" s="284" t="s">
        <v>225</v>
      </c>
      <c r="C9" s="285">
        <f>+Mali!H61</f>
        <v>2013.0329999999999</v>
      </c>
      <c r="D9" s="286">
        <f>+Mali!I61</f>
        <v>2356.2469999999998</v>
      </c>
      <c r="E9" s="287">
        <f>+Mali!J61</f>
        <v>2722.0140000000001</v>
      </c>
      <c r="F9" s="286" t="e">
        <f>+Mali!#REF!</f>
        <v>#REF!</v>
      </c>
      <c r="G9" s="286" t="e">
        <f>+Mali!#REF!</f>
        <v>#REF!</v>
      </c>
      <c r="H9" s="286" t="e">
        <f>+Mali!#REF!</f>
        <v>#REF!</v>
      </c>
      <c r="I9" s="286" t="e">
        <f>+Mali!#REF!</f>
        <v>#REF!</v>
      </c>
      <c r="J9" s="286" t="e">
        <f>+Mali!#REF!</f>
        <v>#REF!</v>
      </c>
      <c r="K9" s="286" t="e">
        <f>+Mali!#REF!</f>
        <v>#REF!</v>
      </c>
      <c r="L9" s="286" t="e">
        <f>+Mali!#REF!</f>
        <v>#REF!</v>
      </c>
      <c r="M9" s="286" t="e">
        <f>+Mali!#REF!</f>
        <v>#REF!</v>
      </c>
      <c r="N9" s="286" t="e">
        <f>+Mali!#REF!</f>
        <v>#REF!</v>
      </c>
      <c r="O9" s="288" t="e">
        <f>+Mali!#REF!</f>
        <v>#REF!</v>
      </c>
    </row>
    <row r="10" spans="2:15" x14ac:dyDescent="0.25">
      <c r="B10" s="284" t="s">
        <v>226</v>
      </c>
      <c r="C10" s="285">
        <f>+Mali!H62</f>
        <v>430.99799999999999</v>
      </c>
      <c r="D10" s="286">
        <f>+Mali!I62</f>
        <v>532.78899999999999</v>
      </c>
      <c r="E10" s="287">
        <f>+Mali!J62</f>
        <v>602.06799999999998</v>
      </c>
      <c r="F10" s="286" t="e">
        <f>+Mali!#REF!</f>
        <v>#REF!</v>
      </c>
      <c r="G10" s="286" t="e">
        <f>+Mali!#REF!</f>
        <v>#REF!</v>
      </c>
      <c r="H10" s="286" t="e">
        <f>+Mali!#REF!</f>
        <v>#REF!</v>
      </c>
      <c r="I10" s="286" t="e">
        <f>+Mali!#REF!</f>
        <v>#REF!</v>
      </c>
      <c r="J10" s="286" t="e">
        <f>+Mali!#REF!</f>
        <v>#REF!</v>
      </c>
      <c r="K10" s="286" t="e">
        <f>+Mali!#REF!</f>
        <v>#REF!</v>
      </c>
      <c r="L10" s="286" t="e">
        <f>+Mali!#REF!</f>
        <v>#REF!</v>
      </c>
      <c r="M10" s="286" t="e">
        <f>+Mali!#REF!</f>
        <v>#REF!</v>
      </c>
      <c r="N10" s="286" t="e">
        <f>+Mali!#REF!</f>
        <v>#REF!</v>
      </c>
      <c r="O10" s="288" t="e">
        <f>+Mali!#REF!</f>
        <v>#REF!</v>
      </c>
    </row>
    <row r="11" spans="2:15" s="7" customFormat="1" x14ac:dyDescent="0.25">
      <c r="B11" s="289" t="s">
        <v>208</v>
      </c>
      <c r="C11" s="280">
        <f>+Mali!H63</f>
        <v>861.14699999999948</v>
      </c>
      <c r="D11" s="281">
        <f>+Mali!I63</f>
        <v>987.74100000000044</v>
      </c>
      <c r="E11" s="282">
        <f>+Mali!J63</f>
        <v>1086.6379999999999</v>
      </c>
      <c r="F11" s="281" t="e">
        <f>+Mali!#REF!</f>
        <v>#REF!</v>
      </c>
      <c r="G11" s="281" t="e">
        <f>+Mali!#REF!</f>
        <v>#REF!</v>
      </c>
      <c r="H11" s="281" t="e">
        <f>+Mali!#REF!</f>
        <v>#REF!</v>
      </c>
      <c r="I11" s="281" t="e">
        <f>+Mali!#REF!</f>
        <v>#REF!</v>
      </c>
      <c r="J11" s="281" t="e">
        <f>+Mali!#REF!</f>
        <v>#REF!</v>
      </c>
      <c r="K11" s="281" t="e">
        <f>+Mali!#REF!</f>
        <v>#REF!</v>
      </c>
      <c r="L11" s="281" t="e">
        <f>+Mali!#REF!</f>
        <v>#REF!</v>
      </c>
      <c r="M11" s="281" t="e">
        <f>+Mali!#REF!</f>
        <v>#REF!</v>
      </c>
      <c r="N11" s="281" t="e">
        <f>+Mali!#REF!</f>
        <v>#REF!</v>
      </c>
      <c r="O11" s="283" t="e">
        <f>+Mali!#REF!</f>
        <v>#REF!</v>
      </c>
    </row>
    <row r="12" spans="2:15" x14ac:dyDescent="0.25">
      <c r="B12" s="284" t="s">
        <v>209</v>
      </c>
      <c r="C12" s="285">
        <f>+Mali!H64</f>
        <v>302.18099999999998</v>
      </c>
      <c r="D12" s="286">
        <f>+Mali!I64</f>
        <v>346.29300000000001</v>
      </c>
      <c r="E12" s="287">
        <f>+Mali!J64</f>
        <v>369.82299999999998</v>
      </c>
      <c r="F12" s="286" t="e">
        <f>+Mali!#REF!</f>
        <v>#REF!</v>
      </c>
      <c r="G12" s="286" t="e">
        <f>+Mali!#REF!</f>
        <v>#REF!</v>
      </c>
      <c r="H12" s="286" t="e">
        <f>+Mali!#REF!</f>
        <v>#REF!</v>
      </c>
      <c r="I12" s="286" t="e">
        <f>+Mali!#REF!</f>
        <v>#REF!</v>
      </c>
      <c r="J12" s="286" t="e">
        <f>+Mali!#REF!</f>
        <v>#REF!</v>
      </c>
      <c r="K12" s="286" t="e">
        <f>+Mali!#REF!</f>
        <v>#REF!</v>
      </c>
      <c r="L12" s="286" t="e">
        <f>+Mali!#REF!</f>
        <v>#REF!</v>
      </c>
      <c r="M12" s="286" t="e">
        <f>+Mali!#REF!</f>
        <v>#REF!</v>
      </c>
      <c r="N12" s="286" t="e">
        <f>+Mali!#REF!</f>
        <v>#REF!</v>
      </c>
      <c r="O12" s="288" t="e">
        <f>+Mali!#REF!</f>
        <v>#REF!</v>
      </c>
    </row>
    <row r="13" spans="2:15" s="7" customFormat="1" x14ac:dyDescent="0.25">
      <c r="B13" s="289" t="s">
        <v>785</v>
      </c>
      <c r="C13" s="280">
        <f>+Mali!H65</f>
        <v>1163.3279999999995</v>
      </c>
      <c r="D13" s="281">
        <f>+Mali!I65</f>
        <v>1334.0340000000006</v>
      </c>
      <c r="E13" s="282">
        <f>+Mali!J65</f>
        <v>1456.4609999999998</v>
      </c>
      <c r="F13" s="281" t="e">
        <f>+Mali!#REF!</f>
        <v>#REF!</v>
      </c>
      <c r="G13" s="281" t="e">
        <f>+Mali!#REF!</f>
        <v>#REF!</v>
      </c>
      <c r="H13" s="281" t="e">
        <f>+Mali!#REF!</f>
        <v>#REF!</v>
      </c>
      <c r="I13" s="281" t="e">
        <f>+Mali!#REF!</f>
        <v>#REF!</v>
      </c>
      <c r="J13" s="281" t="e">
        <f>+Mali!#REF!</f>
        <v>#REF!</v>
      </c>
      <c r="K13" s="281" t="e">
        <f>+Mali!#REF!</f>
        <v>#REF!</v>
      </c>
      <c r="L13" s="281" t="e">
        <f>+Mali!#REF!</f>
        <v>#REF!</v>
      </c>
      <c r="M13" s="281" t="e">
        <f>+Mali!#REF!</f>
        <v>#REF!</v>
      </c>
      <c r="N13" s="281" t="e">
        <f>+Mali!#REF!</f>
        <v>#REF!</v>
      </c>
      <c r="O13" s="283" t="e">
        <f>+Mali!#REF!</f>
        <v>#REF!</v>
      </c>
    </row>
    <row r="14" spans="2:15" s="7" customFormat="1" x14ac:dyDescent="0.25">
      <c r="B14" s="289" t="s">
        <v>784</v>
      </c>
      <c r="C14" s="280" t="e">
        <f>+Mali!#REF!</f>
        <v>#REF!</v>
      </c>
      <c r="D14" s="281" t="e">
        <f>+Mali!#REF!</f>
        <v>#REF!</v>
      </c>
      <c r="E14" s="282" t="e">
        <f>+Mali!#REF!</f>
        <v>#REF!</v>
      </c>
      <c r="F14" s="281" t="e">
        <f>+F13</f>
        <v>#REF!</v>
      </c>
      <c r="G14" s="281" t="e">
        <f t="shared" ref="G14:O14" si="0">+G13</f>
        <v>#REF!</v>
      </c>
      <c r="H14" s="281" t="e">
        <f t="shared" si="0"/>
        <v>#REF!</v>
      </c>
      <c r="I14" s="281" t="e">
        <f t="shared" si="0"/>
        <v>#REF!</v>
      </c>
      <c r="J14" s="281" t="e">
        <f t="shared" si="0"/>
        <v>#REF!</v>
      </c>
      <c r="K14" s="281" t="e">
        <f t="shared" si="0"/>
        <v>#REF!</v>
      </c>
      <c r="L14" s="281" t="e">
        <f t="shared" si="0"/>
        <v>#REF!</v>
      </c>
      <c r="M14" s="281" t="e">
        <f t="shared" si="0"/>
        <v>#REF!</v>
      </c>
      <c r="N14" s="281" t="e">
        <f t="shared" si="0"/>
        <v>#REF!</v>
      </c>
      <c r="O14" s="283" t="e">
        <f t="shared" si="0"/>
        <v>#REF!</v>
      </c>
    </row>
    <row r="15" spans="2:15" x14ac:dyDescent="0.25">
      <c r="B15" s="284" t="s">
        <v>210</v>
      </c>
      <c r="C15" s="285">
        <f>+Mali!H66</f>
        <v>33.869</v>
      </c>
      <c r="D15" s="286">
        <f>+Mali!I66</f>
        <v>33.042999999999999</v>
      </c>
      <c r="E15" s="287">
        <f>+Mali!J66</f>
        <v>39.478999999999999</v>
      </c>
      <c r="F15" s="286"/>
      <c r="G15" s="286"/>
      <c r="H15" s="286"/>
      <c r="I15" s="286"/>
      <c r="J15" s="286"/>
      <c r="K15" s="286"/>
      <c r="L15" s="286"/>
      <c r="M15" s="286"/>
      <c r="N15" s="286"/>
      <c r="O15" s="288"/>
    </row>
    <row r="16" spans="2:15" s="7" customFormat="1" x14ac:dyDescent="0.25">
      <c r="B16" s="279" t="s">
        <v>211</v>
      </c>
      <c r="C16" s="280">
        <f>+Mali!H67</f>
        <v>275.19899999999996</v>
      </c>
      <c r="D16" s="281">
        <f>+Mali!I67</f>
        <v>-18.951999999999998</v>
      </c>
      <c r="E16" s="282">
        <f>+Mali!J67</f>
        <v>196.11899999999997</v>
      </c>
      <c r="F16" s="286"/>
      <c r="G16" s="286"/>
      <c r="H16" s="286"/>
      <c r="I16" s="286"/>
      <c r="J16" s="286"/>
      <c r="K16" s="286"/>
      <c r="L16" s="286"/>
      <c r="M16" s="286"/>
      <c r="N16" s="286"/>
      <c r="O16" s="288"/>
    </row>
    <row r="17" spans="2:15" x14ac:dyDescent="0.25">
      <c r="B17" s="284" t="s">
        <v>212</v>
      </c>
      <c r="C17" s="285">
        <f>+Mali!H68</f>
        <v>461.61399999999998</v>
      </c>
      <c r="D17" s="286">
        <f>+Mali!I68</f>
        <v>216.137</v>
      </c>
      <c r="E17" s="287">
        <f>+Mali!J68</f>
        <v>471.267</v>
      </c>
      <c r="F17" s="286"/>
      <c r="G17" s="286"/>
      <c r="H17" s="286"/>
      <c r="I17" s="286"/>
      <c r="J17" s="286"/>
      <c r="K17" s="286"/>
      <c r="L17" s="286"/>
      <c r="M17" s="286"/>
      <c r="N17" s="286"/>
      <c r="O17" s="288"/>
    </row>
    <row r="18" spans="2:15" x14ac:dyDescent="0.25">
      <c r="B18" s="284" t="s">
        <v>213</v>
      </c>
      <c r="C18" s="285">
        <f>+Mali!H69</f>
        <v>186.41499999999999</v>
      </c>
      <c r="D18" s="286">
        <f>+Mali!I69</f>
        <v>235.089</v>
      </c>
      <c r="E18" s="287">
        <f>+Mali!J69</f>
        <v>275.14800000000002</v>
      </c>
      <c r="F18" s="286"/>
      <c r="G18" s="286"/>
      <c r="H18" s="286"/>
      <c r="I18" s="286"/>
      <c r="J18" s="286"/>
      <c r="K18" s="286"/>
      <c r="L18" s="286"/>
      <c r="M18" s="286"/>
      <c r="N18" s="286"/>
      <c r="O18" s="288"/>
    </row>
    <row r="19" spans="2:15" s="7" customFormat="1" x14ac:dyDescent="0.25">
      <c r="B19" s="279" t="s">
        <v>214</v>
      </c>
      <c r="C19" s="280">
        <f>+Mali!H73</f>
        <v>-425.43500000000006</v>
      </c>
      <c r="D19" s="281">
        <f>+Mali!I73</f>
        <v>-270.21000000000004</v>
      </c>
      <c r="E19" s="282">
        <f>+Mali!J73</f>
        <v>-537.11500000000012</v>
      </c>
      <c r="F19" s="286"/>
      <c r="G19" s="286"/>
      <c r="H19" s="286"/>
      <c r="I19" s="286"/>
      <c r="J19" s="286"/>
      <c r="K19" s="286"/>
      <c r="L19" s="286"/>
      <c r="M19" s="286"/>
      <c r="N19" s="286"/>
      <c r="O19" s="288"/>
    </row>
    <row r="20" spans="2:15" x14ac:dyDescent="0.25">
      <c r="B20" s="284" t="s">
        <v>215</v>
      </c>
      <c r="C20" s="285">
        <f>+Mali!H74</f>
        <v>429.37599999999998</v>
      </c>
      <c r="D20" s="286">
        <f>+Mali!I74</f>
        <v>476.12599999999998</v>
      </c>
      <c r="E20" s="287">
        <f>+Mali!J74</f>
        <v>782.55499999999995</v>
      </c>
      <c r="F20" s="286"/>
      <c r="G20" s="286"/>
      <c r="H20" s="286"/>
      <c r="I20" s="286"/>
      <c r="J20" s="286"/>
      <c r="K20" s="286"/>
      <c r="L20" s="286"/>
      <c r="M20" s="286"/>
      <c r="N20" s="286"/>
      <c r="O20" s="288"/>
    </row>
    <row r="21" spans="2:15" x14ac:dyDescent="0.25">
      <c r="B21" s="284" t="s">
        <v>216</v>
      </c>
      <c r="C21" s="285">
        <f>+Mali!H75</f>
        <v>854.81100000000004</v>
      </c>
      <c r="D21" s="286">
        <f>+Mali!I75</f>
        <v>746.33600000000001</v>
      </c>
      <c r="E21" s="287">
        <f>+Mali!J75</f>
        <v>1319.67</v>
      </c>
      <c r="F21" s="286"/>
      <c r="G21" s="286"/>
      <c r="H21" s="286"/>
      <c r="I21" s="286"/>
      <c r="J21" s="286"/>
      <c r="K21" s="286"/>
      <c r="L21" s="286"/>
      <c r="M21" s="286"/>
      <c r="N21" s="286"/>
      <c r="O21" s="288"/>
    </row>
    <row r="22" spans="2:15" s="7" customFormat="1" x14ac:dyDescent="0.25">
      <c r="B22" s="279" t="s">
        <v>227</v>
      </c>
      <c r="C22" s="280">
        <f>+Mali!H76</f>
        <v>744.77999999999952</v>
      </c>
      <c r="D22" s="281">
        <f>+Mali!I76</f>
        <v>731.62200000000041</v>
      </c>
      <c r="E22" s="282">
        <f>+Mali!J76</f>
        <v>785.12099999999975</v>
      </c>
      <c r="F22" s="286"/>
      <c r="G22" s="286"/>
      <c r="H22" s="286"/>
      <c r="I22" s="286"/>
      <c r="J22" s="286"/>
      <c r="K22" s="286"/>
      <c r="L22" s="286"/>
      <c r="M22" s="286"/>
      <c r="N22" s="286"/>
      <c r="O22" s="288"/>
    </row>
    <row r="23" spans="2:15" x14ac:dyDescent="0.25">
      <c r="B23" s="284" t="s">
        <v>228</v>
      </c>
      <c r="C23" s="285">
        <f>+Mali!H77</f>
        <v>122.08499999999999</v>
      </c>
      <c r="D23" s="286">
        <f>+Mali!I77</f>
        <v>93.644000000000005</v>
      </c>
      <c r="E23" s="287">
        <f>+Mali!J77</f>
        <v>-107.872</v>
      </c>
      <c r="F23" s="286"/>
      <c r="G23" s="286"/>
      <c r="H23" s="286"/>
      <c r="I23" s="286"/>
      <c r="J23" s="286"/>
      <c r="K23" s="286"/>
      <c r="L23" s="286"/>
      <c r="M23" s="286"/>
      <c r="N23" s="286"/>
      <c r="O23" s="288"/>
    </row>
    <row r="24" spans="2:15" s="7" customFormat="1" ht="15.75" thickBot="1" x14ac:dyDescent="0.3">
      <c r="B24" s="290" t="s">
        <v>217</v>
      </c>
      <c r="C24" s="291">
        <f>+Mali!H78</f>
        <v>622.69499999999948</v>
      </c>
      <c r="D24" s="292">
        <f>+Mali!I78</f>
        <v>637.97800000000041</v>
      </c>
      <c r="E24" s="293">
        <f>+Mali!J78</f>
        <v>892.99299999999971</v>
      </c>
      <c r="F24" s="234"/>
      <c r="G24" s="234"/>
      <c r="H24" s="234"/>
      <c r="I24" s="234"/>
      <c r="J24" s="234"/>
      <c r="K24" s="234"/>
      <c r="L24" s="234"/>
      <c r="M24" s="234"/>
      <c r="N24" s="234"/>
      <c r="O24" s="294"/>
    </row>
    <row r="27" spans="2:15" ht="15.75" thickBot="1" x14ac:dyDescent="0.3"/>
    <row r="28" spans="2:15" s="1" customFormat="1" ht="13.5" x14ac:dyDescent="0.25">
      <c r="B28" s="295" t="s">
        <v>222</v>
      </c>
      <c r="C28" s="296">
        <f>+C4/$C$4</f>
        <v>1</v>
      </c>
      <c r="D28" s="297">
        <f>+D4/$D$4</f>
        <v>1</v>
      </c>
      <c r="E28" s="298">
        <f>+E4/$E$4</f>
        <v>1</v>
      </c>
      <c r="F28" s="297" t="e">
        <f>+F4/$F$4</f>
        <v>#REF!</v>
      </c>
      <c r="G28" s="297" t="e">
        <f>+G4/$G$4</f>
        <v>#REF!</v>
      </c>
      <c r="H28" s="297" t="e">
        <f>+H4/$H$4</f>
        <v>#REF!</v>
      </c>
      <c r="I28" s="297" t="e">
        <f>+I4/$I$4</f>
        <v>#REF!</v>
      </c>
      <c r="J28" s="297" t="e">
        <f>+J4/$J$4</f>
        <v>#REF!</v>
      </c>
      <c r="K28" s="297" t="e">
        <f>+K4/$K$4</f>
        <v>#REF!</v>
      </c>
      <c r="L28" s="297" t="e">
        <f>+L4/$L$4</f>
        <v>#REF!</v>
      </c>
      <c r="M28" s="297" t="e">
        <f>+M4/$M$4</f>
        <v>#REF!</v>
      </c>
      <c r="N28" s="297" t="e">
        <f>+N4/$N$4</f>
        <v>#REF!</v>
      </c>
      <c r="O28" s="299" t="e">
        <f>+O4/$O$4</f>
        <v>#REF!</v>
      </c>
    </row>
    <row r="29" spans="2:15" s="1" customFormat="1" ht="13.5" x14ac:dyDescent="0.25">
      <c r="B29" s="284" t="s">
        <v>205</v>
      </c>
      <c r="C29" s="300">
        <f t="shared" ref="C29:C48" si="1">+C5/$C$4</f>
        <v>0.6946771275626118</v>
      </c>
      <c r="D29" s="301">
        <f t="shared" ref="D29:D48" si="2">+D5/$D$4</f>
        <v>0.68205038295807585</v>
      </c>
      <c r="E29" s="302">
        <f t="shared" ref="E29:E48" si="3">+E5/$E$4</f>
        <v>0.67980650990745517</v>
      </c>
      <c r="F29" s="301" t="e">
        <f t="shared" ref="F29:F48" si="4">+F5/$F$4</f>
        <v>#REF!</v>
      </c>
      <c r="G29" s="301" t="e">
        <f t="shared" ref="G29:G48" si="5">+G5/$G$4</f>
        <v>#REF!</v>
      </c>
      <c r="H29" s="301" t="e">
        <f t="shared" ref="H29:H48" si="6">+H5/$H$4</f>
        <v>#REF!</v>
      </c>
      <c r="I29" s="301" t="e">
        <f t="shared" ref="I29:I48" si="7">+I5/$I$4</f>
        <v>#REF!</v>
      </c>
      <c r="J29" s="301" t="e">
        <f t="shared" ref="J29:J48" si="8">+J5/$J$4</f>
        <v>#REF!</v>
      </c>
      <c r="K29" s="301" t="e">
        <f t="shared" ref="K29:K48" si="9">+K5/$K$4</f>
        <v>#REF!</v>
      </c>
      <c r="L29" s="301" t="e">
        <f t="shared" ref="L29:L48" si="10">+L5/$L$4</f>
        <v>#REF!</v>
      </c>
      <c r="M29" s="301" t="e">
        <f t="shared" ref="M29:M48" si="11">+M5/$M$4</f>
        <v>#REF!</v>
      </c>
      <c r="N29" s="301" t="e">
        <f t="shared" ref="N29:N48" si="12">+N5/$N$4</f>
        <v>#REF!</v>
      </c>
      <c r="O29" s="303" t="e">
        <f t="shared" ref="O29:O48" si="13">+O5/$O$4</f>
        <v>#REF!</v>
      </c>
    </row>
    <row r="30" spans="2:15" s="3" customFormat="1" ht="13.5" x14ac:dyDescent="0.25">
      <c r="B30" s="304" t="s">
        <v>206</v>
      </c>
      <c r="C30" s="305">
        <f t="shared" si="1"/>
        <v>0.30532287243738815</v>
      </c>
      <c r="D30" s="306">
        <f t="shared" si="2"/>
        <v>0.31794961704192409</v>
      </c>
      <c r="E30" s="307">
        <f t="shared" si="3"/>
        <v>0.32019349009254489</v>
      </c>
      <c r="F30" s="306" t="e">
        <f t="shared" si="4"/>
        <v>#REF!</v>
      </c>
      <c r="G30" s="306" t="e">
        <f t="shared" si="5"/>
        <v>#REF!</v>
      </c>
      <c r="H30" s="306" t="e">
        <f t="shared" si="6"/>
        <v>#REF!</v>
      </c>
      <c r="I30" s="306" t="e">
        <f t="shared" si="7"/>
        <v>#REF!</v>
      </c>
      <c r="J30" s="306" t="e">
        <f t="shared" si="8"/>
        <v>#REF!</v>
      </c>
      <c r="K30" s="306" t="e">
        <f t="shared" si="9"/>
        <v>#REF!</v>
      </c>
      <c r="L30" s="306" t="e">
        <f t="shared" si="10"/>
        <v>#REF!</v>
      </c>
      <c r="M30" s="306" t="e">
        <f t="shared" si="11"/>
        <v>#REF!</v>
      </c>
      <c r="N30" s="306" t="e">
        <f t="shared" si="12"/>
        <v>#REF!</v>
      </c>
      <c r="O30" s="308" t="e">
        <f t="shared" si="13"/>
        <v>#REF!</v>
      </c>
    </row>
    <row r="31" spans="2:15" s="3" customFormat="1" ht="13.5" x14ac:dyDescent="0.25">
      <c r="B31" s="304" t="s">
        <v>207</v>
      </c>
      <c r="C31" s="305">
        <f t="shared" si="1"/>
        <v>0.22772605990550665</v>
      </c>
      <c r="D31" s="306">
        <f t="shared" si="2"/>
        <v>0.23901894776847721</v>
      </c>
      <c r="E31" s="307">
        <f t="shared" si="3"/>
        <v>0.24348656299193144</v>
      </c>
      <c r="F31" s="306" t="e">
        <f t="shared" si="4"/>
        <v>#REF!</v>
      </c>
      <c r="G31" s="306" t="e">
        <f t="shared" si="5"/>
        <v>#REF!</v>
      </c>
      <c r="H31" s="306" t="e">
        <f t="shared" si="6"/>
        <v>#REF!</v>
      </c>
      <c r="I31" s="306" t="e">
        <f t="shared" si="7"/>
        <v>#REF!</v>
      </c>
      <c r="J31" s="306" t="e">
        <f t="shared" si="8"/>
        <v>#REF!</v>
      </c>
      <c r="K31" s="306" t="e">
        <f t="shared" si="9"/>
        <v>#REF!</v>
      </c>
      <c r="L31" s="306" t="e">
        <f t="shared" si="10"/>
        <v>#REF!</v>
      </c>
      <c r="M31" s="306" t="e">
        <f t="shared" si="11"/>
        <v>#REF!</v>
      </c>
      <c r="N31" s="306" t="e">
        <f t="shared" si="12"/>
        <v>#REF!</v>
      </c>
      <c r="O31" s="308" t="e">
        <f t="shared" si="13"/>
        <v>#REF!</v>
      </c>
    </row>
    <row r="32" spans="2:15" s="1" customFormat="1" ht="13.5" x14ac:dyDescent="0.25">
      <c r="B32" s="284" t="s">
        <v>224</v>
      </c>
      <c r="C32" s="300">
        <f t="shared" si="1"/>
        <v>7.4976722677316072E-3</v>
      </c>
      <c r="D32" s="301">
        <f t="shared" si="2"/>
        <v>8.1552445962065154E-3</v>
      </c>
      <c r="E32" s="302">
        <f t="shared" si="3"/>
        <v>8.8360946202553983E-3</v>
      </c>
      <c r="F32" s="301" t="e">
        <f t="shared" si="4"/>
        <v>#REF!</v>
      </c>
      <c r="G32" s="301" t="e">
        <f t="shared" si="5"/>
        <v>#REF!</v>
      </c>
      <c r="H32" s="301" t="e">
        <f t="shared" si="6"/>
        <v>#REF!</v>
      </c>
      <c r="I32" s="301" t="e">
        <f t="shared" si="7"/>
        <v>#REF!</v>
      </c>
      <c r="J32" s="301" t="e">
        <f t="shared" si="8"/>
        <v>#REF!</v>
      </c>
      <c r="K32" s="301" t="e">
        <f t="shared" si="9"/>
        <v>#REF!</v>
      </c>
      <c r="L32" s="301" t="e">
        <f t="shared" si="10"/>
        <v>#REF!</v>
      </c>
      <c r="M32" s="301" t="e">
        <f t="shared" si="11"/>
        <v>#REF!</v>
      </c>
      <c r="N32" s="301" t="e">
        <f t="shared" si="12"/>
        <v>#REF!</v>
      </c>
      <c r="O32" s="303" t="e">
        <f t="shared" si="13"/>
        <v>#REF!</v>
      </c>
    </row>
    <row r="33" spans="2:15" s="1" customFormat="1" ht="13.5" x14ac:dyDescent="0.25">
      <c r="B33" s="284" t="s">
        <v>225</v>
      </c>
      <c r="C33" s="300">
        <f t="shared" si="1"/>
        <v>0.18139173024058744</v>
      </c>
      <c r="D33" s="301">
        <f t="shared" si="2"/>
        <v>0.18828837993315184</v>
      </c>
      <c r="E33" s="302">
        <f t="shared" si="3"/>
        <v>0.19214985069991036</v>
      </c>
      <c r="F33" s="301" t="e">
        <f t="shared" si="4"/>
        <v>#REF!</v>
      </c>
      <c r="G33" s="301" t="e">
        <f t="shared" si="5"/>
        <v>#REF!</v>
      </c>
      <c r="H33" s="301" t="e">
        <f t="shared" si="6"/>
        <v>#REF!</v>
      </c>
      <c r="I33" s="301" t="e">
        <f t="shared" si="7"/>
        <v>#REF!</v>
      </c>
      <c r="J33" s="301" t="e">
        <f t="shared" si="8"/>
        <v>#REF!</v>
      </c>
      <c r="K33" s="301" t="e">
        <f t="shared" si="9"/>
        <v>#REF!</v>
      </c>
      <c r="L33" s="301" t="e">
        <f t="shared" si="10"/>
        <v>#REF!</v>
      </c>
      <c r="M33" s="301" t="e">
        <f t="shared" si="11"/>
        <v>#REF!</v>
      </c>
      <c r="N33" s="301" t="e">
        <f t="shared" si="12"/>
        <v>#REF!</v>
      </c>
      <c r="O33" s="303" t="e">
        <f t="shared" si="13"/>
        <v>#REF!</v>
      </c>
    </row>
    <row r="34" spans="2:15" s="1" customFormat="1" ht="13.5" x14ac:dyDescent="0.25">
      <c r="B34" s="284" t="s">
        <v>226</v>
      </c>
      <c r="C34" s="300">
        <f t="shared" si="1"/>
        <v>3.8836657397187585E-2</v>
      </c>
      <c r="D34" s="301">
        <f t="shared" si="2"/>
        <v>4.2575323239118834E-2</v>
      </c>
      <c r="E34" s="302">
        <f t="shared" si="3"/>
        <v>4.2500617671765689E-2</v>
      </c>
      <c r="F34" s="301" t="e">
        <f t="shared" si="4"/>
        <v>#REF!</v>
      </c>
      <c r="G34" s="301" t="e">
        <f t="shared" si="5"/>
        <v>#REF!</v>
      </c>
      <c r="H34" s="301" t="e">
        <f t="shared" si="6"/>
        <v>#REF!</v>
      </c>
      <c r="I34" s="301" t="e">
        <f t="shared" si="7"/>
        <v>#REF!</v>
      </c>
      <c r="J34" s="301" t="e">
        <f t="shared" si="8"/>
        <v>#REF!</v>
      </c>
      <c r="K34" s="301" t="e">
        <f t="shared" si="9"/>
        <v>#REF!</v>
      </c>
      <c r="L34" s="301" t="e">
        <f t="shared" si="10"/>
        <v>#REF!</v>
      </c>
      <c r="M34" s="301" t="e">
        <f t="shared" si="11"/>
        <v>#REF!</v>
      </c>
      <c r="N34" s="301" t="e">
        <f t="shared" si="12"/>
        <v>#REF!</v>
      </c>
      <c r="O34" s="303" t="e">
        <f t="shared" si="13"/>
        <v>#REF!</v>
      </c>
    </row>
    <row r="35" spans="2:15" s="3" customFormat="1" ht="13.5" x14ac:dyDescent="0.25">
      <c r="B35" s="304" t="s">
        <v>208</v>
      </c>
      <c r="C35" s="305">
        <f t="shared" si="1"/>
        <v>7.7596812531881526E-2</v>
      </c>
      <c r="D35" s="306">
        <f t="shared" si="2"/>
        <v>7.8930669273446899E-2</v>
      </c>
      <c r="E35" s="307">
        <f t="shared" si="3"/>
        <v>7.6706927100613428E-2</v>
      </c>
      <c r="F35" s="306" t="e">
        <f t="shared" si="4"/>
        <v>#REF!</v>
      </c>
      <c r="G35" s="306" t="e">
        <f t="shared" si="5"/>
        <v>#REF!</v>
      </c>
      <c r="H35" s="306" t="e">
        <f t="shared" si="6"/>
        <v>#REF!</v>
      </c>
      <c r="I35" s="306" t="e">
        <f t="shared" si="7"/>
        <v>#REF!</v>
      </c>
      <c r="J35" s="306" t="e">
        <f t="shared" si="8"/>
        <v>#REF!</v>
      </c>
      <c r="K35" s="306" t="e">
        <f t="shared" si="9"/>
        <v>#REF!</v>
      </c>
      <c r="L35" s="306" t="e">
        <f t="shared" si="10"/>
        <v>#REF!</v>
      </c>
      <c r="M35" s="306" t="e">
        <f t="shared" si="11"/>
        <v>#REF!</v>
      </c>
      <c r="N35" s="306" t="e">
        <f t="shared" si="12"/>
        <v>#REF!</v>
      </c>
      <c r="O35" s="308" t="e">
        <f t="shared" si="13"/>
        <v>#REF!</v>
      </c>
    </row>
    <row r="36" spans="2:15" s="1" customFormat="1" ht="13.5" x14ac:dyDescent="0.25">
      <c r="B36" s="284" t="s">
        <v>209</v>
      </c>
      <c r="C36" s="300">
        <f t="shared" si="1"/>
        <v>2.7229128601384555E-2</v>
      </c>
      <c r="D36" s="301">
        <f t="shared" si="2"/>
        <v>2.7672373886180421E-2</v>
      </c>
      <c r="E36" s="302">
        <f t="shared" si="3"/>
        <v>2.6106197189064029E-2</v>
      </c>
      <c r="F36" s="301" t="e">
        <f t="shared" si="4"/>
        <v>#REF!</v>
      </c>
      <c r="G36" s="301" t="e">
        <f t="shared" si="5"/>
        <v>#REF!</v>
      </c>
      <c r="H36" s="301" t="e">
        <f t="shared" si="6"/>
        <v>#REF!</v>
      </c>
      <c r="I36" s="301" t="e">
        <f t="shared" si="7"/>
        <v>#REF!</v>
      </c>
      <c r="J36" s="301" t="e">
        <f t="shared" si="8"/>
        <v>#REF!</v>
      </c>
      <c r="K36" s="301" t="e">
        <f t="shared" si="9"/>
        <v>#REF!</v>
      </c>
      <c r="L36" s="301" t="e">
        <f t="shared" si="10"/>
        <v>#REF!</v>
      </c>
      <c r="M36" s="301" t="e">
        <f t="shared" si="11"/>
        <v>#REF!</v>
      </c>
      <c r="N36" s="301" t="e">
        <f t="shared" si="12"/>
        <v>#REF!</v>
      </c>
      <c r="O36" s="303" t="e">
        <f t="shared" si="13"/>
        <v>#REF!</v>
      </c>
    </row>
    <row r="37" spans="2:15" s="3" customFormat="1" ht="13.5" x14ac:dyDescent="0.25">
      <c r="B37" s="304" t="s">
        <v>785</v>
      </c>
      <c r="C37" s="305">
        <f t="shared" si="1"/>
        <v>0.1048259411332661</v>
      </c>
      <c r="D37" s="306">
        <f t="shared" si="2"/>
        <v>0.10660304315962732</v>
      </c>
      <c r="E37" s="307">
        <f t="shared" si="3"/>
        <v>0.10281312428967745</v>
      </c>
      <c r="F37" s="306" t="e">
        <f t="shared" si="4"/>
        <v>#REF!</v>
      </c>
      <c r="G37" s="306" t="e">
        <f t="shared" si="5"/>
        <v>#REF!</v>
      </c>
      <c r="H37" s="306" t="e">
        <f t="shared" si="6"/>
        <v>#REF!</v>
      </c>
      <c r="I37" s="306" t="e">
        <f t="shared" si="7"/>
        <v>#REF!</v>
      </c>
      <c r="J37" s="306" t="e">
        <f t="shared" si="8"/>
        <v>#REF!</v>
      </c>
      <c r="K37" s="306" t="e">
        <f t="shared" si="9"/>
        <v>#REF!</v>
      </c>
      <c r="L37" s="306" t="e">
        <f t="shared" si="10"/>
        <v>#REF!</v>
      </c>
      <c r="M37" s="306" t="e">
        <f t="shared" si="11"/>
        <v>#REF!</v>
      </c>
      <c r="N37" s="306" t="e">
        <f t="shared" si="12"/>
        <v>#REF!</v>
      </c>
      <c r="O37" s="308" t="e">
        <f t="shared" si="13"/>
        <v>#REF!</v>
      </c>
    </row>
    <row r="38" spans="2:15" s="3" customFormat="1" ht="13.5" x14ac:dyDescent="0.25">
      <c r="B38" s="304" t="s">
        <v>784</v>
      </c>
      <c r="C38" s="305" t="e">
        <f t="shared" si="1"/>
        <v>#REF!</v>
      </c>
      <c r="D38" s="306" t="e">
        <f t="shared" si="2"/>
        <v>#REF!</v>
      </c>
      <c r="E38" s="307" t="e">
        <f t="shared" si="3"/>
        <v>#REF!</v>
      </c>
      <c r="F38" s="306" t="e">
        <f t="shared" si="4"/>
        <v>#REF!</v>
      </c>
      <c r="G38" s="306" t="e">
        <f t="shared" si="5"/>
        <v>#REF!</v>
      </c>
      <c r="H38" s="306" t="e">
        <f t="shared" si="6"/>
        <v>#REF!</v>
      </c>
      <c r="I38" s="306" t="e">
        <f t="shared" si="7"/>
        <v>#REF!</v>
      </c>
      <c r="J38" s="306" t="e">
        <f t="shared" si="8"/>
        <v>#REF!</v>
      </c>
      <c r="K38" s="306" t="e">
        <f t="shared" si="9"/>
        <v>#REF!</v>
      </c>
      <c r="L38" s="306" t="e">
        <f t="shared" si="10"/>
        <v>#REF!</v>
      </c>
      <c r="M38" s="306" t="e">
        <f t="shared" si="11"/>
        <v>#REF!</v>
      </c>
      <c r="N38" s="306" t="e">
        <f t="shared" si="12"/>
        <v>#REF!</v>
      </c>
      <c r="O38" s="308" t="e">
        <f t="shared" si="13"/>
        <v>#REF!</v>
      </c>
    </row>
    <row r="39" spans="2:15" s="1" customFormat="1" ht="13.5" x14ac:dyDescent="0.25">
      <c r="B39" s="284" t="s">
        <v>210</v>
      </c>
      <c r="C39" s="300">
        <f t="shared" si="1"/>
        <v>3.0518906105952842E-3</v>
      </c>
      <c r="D39" s="301">
        <f t="shared" si="2"/>
        <v>2.6404756963642338E-3</v>
      </c>
      <c r="E39" s="302">
        <f t="shared" si="3"/>
        <v>2.7868644157531008E-3</v>
      </c>
      <c r="F39" s="301" t="e">
        <f t="shared" si="4"/>
        <v>#REF!</v>
      </c>
      <c r="G39" s="301" t="e">
        <f t="shared" si="5"/>
        <v>#REF!</v>
      </c>
      <c r="H39" s="301" t="e">
        <f t="shared" si="6"/>
        <v>#REF!</v>
      </c>
      <c r="I39" s="301" t="e">
        <f t="shared" si="7"/>
        <v>#REF!</v>
      </c>
      <c r="J39" s="301" t="e">
        <f t="shared" si="8"/>
        <v>#REF!</v>
      </c>
      <c r="K39" s="301" t="e">
        <f t="shared" si="9"/>
        <v>#REF!</v>
      </c>
      <c r="L39" s="301" t="e">
        <f t="shared" si="10"/>
        <v>#REF!</v>
      </c>
      <c r="M39" s="301" t="e">
        <f t="shared" si="11"/>
        <v>#REF!</v>
      </c>
      <c r="N39" s="301" t="e">
        <f t="shared" si="12"/>
        <v>#REF!</v>
      </c>
      <c r="O39" s="303" t="e">
        <f t="shared" si="13"/>
        <v>#REF!</v>
      </c>
    </row>
    <row r="40" spans="2:15" s="3" customFormat="1" ht="13.5" x14ac:dyDescent="0.25">
      <c r="B40" s="304" t="s">
        <v>211</v>
      </c>
      <c r="C40" s="305">
        <f t="shared" si="1"/>
        <v>2.4797816414574139E-2</v>
      </c>
      <c r="D40" s="306">
        <f t="shared" si="2"/>
        <v>-1.5144598068424463E-3</v>
      </c>
      <c r="E40" s="307">
        <f t="shared" si="3"/>
        <v>1.3844247887562559E-2</v>
      </c>
      <c r="F40" s="306" t="e">
        <f t="shared" si="4"/>
        <v>#REF!</v>
      </c>
      <c r="G40" s="306" t="e">
        <f t="shared" si="5"/>
        <v>#REF!</v>
      </c>
      <c r="H40" s="306" t="e">
        <f t="shared" si="6"/>
        <v>#REF!</v>
      </c>
      <c r="I40" s="306" t="e">
        <f t="shared" si="7"/>
        <v>#REF!</v>
      </c>
      <c r="J40" s="306" t="e">
        <f t="shared" si="8"/>
        <v>#REF!</v>
      </c>
      <c r="K40" s="306" t="e">
        <f t="shared" si="9"/>
        <v>#REF!</v>
      </c>
      <c r="L40" s="306" t="e">
        <f t="shared" si="10"/>
        <v>#REF!</v>
      </c>
      <c r="M40" s="306" t="e">
        <f t="shared" si="11"/>
        <v>#REF!</v>
      </c>
      <c r="N40" s="306" t="e">
        <f t="shared" si="12"/>
        <v>#REF!</v>
      </c>
      <c r="O40" s="308" t="e">
        <f t="shared" si="13"/>
        <v>#REF!</v>
      </c>
    </row>
    <row r="41" spans="2:15" s="1" customFormat="1" ht="13.5" x14ac:dyDescent="0.25">
      <c r="B41" s="284" t="s">
        <v>212</v>
      </c>
      <c r="C41" s="300">
        <f t="shared" si="1"/>
        <v>4.1595424497898714E-2</v>
      </c>
      <c r="D41" s="301">
        <f t="shared" si="2"/>
        <v>1.7271570244380849E-2</v>
      </c>
      <c r="E41" s="302">
        <f t="shared" si="3"/>
        <v>3.3267236571815816E-2</v>
      </c>
      <c r="F41" s="301" t="e">
        <f t="shared" si="4"/>
        <v>#REF!</v>
      </c>
      <c r="G41" s="301" t="e">
        <f t="shared" si="5"/>
        <v>#REF!</v>
      </c>
      <c r="H41" s="301" t="e">
        <f t="shared" si="6"/>
        <v>#REF!</v>
      </c>
      <c r="I41" s="301" t="e">
        <f t="shared" si="7"/>
        <v>#REF!</v>
      </c>
      <c r="J41" s="301" t="e">
        <f t="shared" si="8"/>
        <v>#REF!</v>
      </c>
      <c r="K41" s="301" t="e">
        <f t="shared" si="9"/>
        <v>#REF!</v>
      </c>
      <c r="L41" s="301" t="e">
        <f t="shared" si="10"/>
        <v>#REF!</v>
      </c>
      <c r="M41" s="301" t="e">
        <f t="shared" si="11"/>
        <v>#REF!</v>
      </c>
      <c r="N41" s="301" t="e">
        <f t="shared" si="12"/>
        <v>#REF!</v>
      </c>
      <c r="O41" s="303" t="e">
        <f t="shared" si="13"/>
        <v>#REF!</v>
      </c>
    </row>
    <row r="42" spans="2:15" s="1" customFormat="1" ht="13.5" x14ac:dyDescent="0.25">
      <c r="B42" s="284" t="s">
        <v>213</v>
      </c>
      <c r="C42" s="300">
        <f t="shared" si="1"/>
        <v>1.6797608083324572E-2</v>
      </c>
      <c r="D42" s="301">
        <f t="shared" si="2"/>
        <v>1.8786030051223295E-2</v>
      </c>
      <c r="E42" s="302">
        <f t="shared" si="3"/>
        <v>1.9422988684253253E-2</v>
      </c>
      <c r="F42" s="301" t="e">
        <f t="shared" si="4"/>
        <v>#REF!</v>
      </c>
      <c r="G42" s="301" t="e">
        <f t="shared" si="5"/>
        <v>#REF!</v>
      </c>
      <c r="H42" s="301" t="e">
        <f t="shared" si="6"/>
        <v>#REF!</v>
      </c>
      <c r="I42" s="301" t="e">
        <f t="shared" si="7"/>
        <v>#REF!</v>
      </c>
      <c r="J42" s="301" t="e">
        <f t="shared" si="8"/>
        <v>#REF!</v>
      </c>
      <c r="K42" s="301" t="e">
        <f t="shared" si="9"/>
        <v>#REF!</v>
      </c>
      <c r="L42" s="301" t="e">
        <f t="shared" si="10"/>
        <v>#REF!</v>
      </c>
      <c r="M42" s="301" t="e">
        <f t="shared" si="11"/>
        <v>#REF!</v>
      </c>
      <c r="N42" s="301" t="e">
        <f t="shared" si="12"/>
        <v>#REF!</v>
      </c>
      <c r="O42" s="303" t="e">
        <f t="shared" si="13"/>
        <v>#REF!</v>
      </c>
    </row>
    <row r="43" spans="2:15" s="3" customFormat="1" ht="13.5" x14ac:dyDescent="0.25">
      <c r="B43" s="304" t="s">
        <v>214</v>
      </c>
      <c r="C43" s="305">
        <f t="shared" si="1"/>
        <v>-3.8335382855077059E-2</v>
      </c>
      <c r="D43" s="306">
        <f t="shared" si="2"/>
        <v>-2.1592559329194676E-2</v>
      </c>
      <c r="E43" s="307">
        <f t="shared" si="3"/>
        <v>-3.7915516620664835E-2</v>
      </c>
      <c r="F43" s="306" t="e">
        <f t="shared" si="4"/>
        <v>#REF!</v>
      </c>
      <c r="G43" s="306" t="e">
        <f t="shared" si="5"/>
        <v>#REF!</v>
      </c>
      <c r="H43" s="306" t="e">
        <f t="shared" si="6"/>
        <v>#REF!</v>
      </c>
      <c r="I43" s="306" t="e">
        <f t="shared" si="7"/>
        <v>#REF!</v>
      </c>
      <c r="J43" s="306" t="e">
        <f t="shared" si="8"/>
        <v>#REF!</v>
      </c>
      <c r="K43" s="306" t="e">
        <f t="shared" si="9"/>
        <v>#REF!</v>
      </c>
      <c r="L43" s="306" t="e">
        <f t="shared" si="10"/>
        <v>#REF!</v>
      </c>
      <c r="M43" s="306" t="e">
        <f t="shared" si="11"/>
        <v>#REF!</v>
      </c>
      <c r="N43" s="306" t="e">
        <f t="shared" si="12"/>
        <v>#REF!</v>
      </c>
      <c r="O43" s="308" t="e">
        <f t="shared" si="13"/>
        <v>#REF!</v>
      </c>
    </row>
    <row r="44" spans="2:15" s="1" customFormat="1" ht="13.5" x14ac:dyDescent="0.25">
      <c r="B44" s="284" t="s">
        <v>215</v>
      </c>
      <c r="C44" s="300">
        <f t="shared" si="1"/>
        <v>3.8690501131269324E-2</v>
      </c>
      <c r="D44" s="301">
        <f t="shared" si="2"/>
        <v>3.8047366504467425E-2</v>
      </c>
      <c r="E44" s="302">
        <f t="shared" si="3"/>
        <v>5.5241386126033271E-2</v>
      </c>
      <c r="F44" s="301" t="e">
        <f t="shared" si="4"/>
        <v>#REF!</v>
      </c>
      <c r="G44" s="301" t="e">
        <f t="shared" si="5"/>
        <v>#REF!</v>
      </c>
      <c r="H44" s="301" t="e">
        <f t="shared" si="6"/>
        <v>#REF!</v>
      </c>
      <c r="I44" s="301" t="e">
        <f t="shared" si="7"/>
        <v>#REF!</v>
      </c>
      <c r="J44" s="301" t="e">
        <f t="shared" si="8"/>
        <v>#REF!</v>
      </c>
      <c r="K44" s="301" t="e">
        <f t="shared" si="9"/>
        <v>#REF!</v>
      </c>
      <c r="L44" s="301" t="e">
        <f t="shared" si="10"/>
        <v>#REF!</v>
      </c>
      <c r="M44" s="301" t="e">
        <f t="shared" si="11"/>
        <v>#REF!</v>
      </c>
      <c r="N44" s="301" t="e">
        <f t="shared" si="12"/>
        <v>#REF!</v>
      </c>
      <c r="O44" s="303" t="e">
        <f t="shared" si="13"/>
        <v>#REF!</v>
      </c>
    </row>
    <row r="45" spans="2:15" s="1" customFormat="1" ht="13.5" x14ac:dyDescent="0.25">
      <c r="B45" s="284" t="s">
        <v>216</v>
      </c>
      <c r="C45" s="300">
        <f t="shared" si="1"/>
        <v>7.7025883986346383E-2</v>
      </c>
      <c r="D45" s="301">
        <f t="shared" si="2"/>
        <v>5.9639925833662101E-2</v>
      </c>
      <c r="E45" s="302">
        <f t="shared" si="3"/>
        <v>9.3156902746698106E-2</v>
      </c>
      <c r="F45" s="301" t="e">
        <f t="shared" si="4"/>
        <v>#REF!</v>
      </c>
      <c r="G45" s="301" t="e">
        <f t="shared" si="5"/>
        <v>#REF!</v>
      </c>
      <c r="H45" s="301" t="e">
        <f t="shared" si="6"/>
        <v>#REF!</v>
      </c>
      <c r="I45" s="301" t="e">
        <f t="shared" si="7"/>
        <v>#REF!</v>
      </c>
      <c r="J45" s="301" t="e">
        <f t="shared" si="8"/>
        <v>#REF!</v>
      </c>
      <c r="K45" s="301" t="e">
        <f t="shared" si="9"/>
        <v>#REF!</v>
      </c>
      <c r="L45" s="301" t="e">
        <f t="shared" si="10"/>
        <v>#REF!</v>
      </c>
      <c r="M45" s="301" t="e">
        <f t="shared" si="11"/>
        <v>#REF!</v>
      </c>
      <c r="N45" s="301" t="e">
        <f t="shared" si="12"/>
        <v>#REF!</v>
      </c>
      <c r="O45" s="303" t="e">
        <f t="shared" si="13"/>
        <v>#REF!</v>
      </c>
    </row>
    <row r="46" spans="2:15" s="3" customFormat="1" ht="13.5" x14ac:dyDescent="0.25">
      <c r="B46" s="304" t="s">
        <v>227</v>
      </c>
      <c r="C46" s="305">
        <f t="shared" si="1"/>
        <v>6.7111136701973911E-2</v>
      </c>
      <c r="D46" s="306">
        <f t="shared" si="2"/>
        <v>5.8464125833774007E-2</v>
      </c>
      <c r="E46" s="307">
        <f t="shared" si="3"/>
        <v>5.5422522783264254E-2</v>
      </c>
      <c r="F46" s="306" t="e">
        <f t="shared" si="4"/>
        <v>#REF!</v>
      </c>
      <c r="G46" s="306" t="e">
        <f t="shared" si="5"/>
        <v>#REF!</v>
      </c>
      <c r="H46" s="306" t="e">
        <f t="shared" si="6"/>
        <v>#REF!</v>
      </c>
      <c r="I46" s="306" t="e">
        <f t="shared" si="7"/>
        <v>#REF!</v>
      </c>
      <c r="J46" s="306" t="e">
        <f t="shared" si="8"/>
        <v>#REF!</v>
      </c>
      <c r="K46" s="306" t="e">
        <f t="shared" si="9"/>
        <v>#REF!</v>
      </c>
      <c r="L46" s="306" t="e">
        <f t="shared" si="10"/>
        <v>#REF!</v>
      </c>
      <c r="M46" s="306" t="e">
        <f t="shared" si="11"/>
        <v>#REF!</v>
      </c>
      <c r="N46" s="306" t="e">
        <f t="shared" si="12"/>
        <v>#REF!</v>
      </c>
      <c r="O46" s="308" t="e">
        <f t="shared" si="13"/>
        <v>#REF!</v>
      </c>
    </row>
    <row r="47" spans="2:15" s="1" customFormat="1" ht="13.5" x14ac:dyDescent="0.25">
      <c r="B47" s="284" t="s">
        <v>228</v>
      </c>
      <c r="C47" s="300">
        <f t="shared" si="1"/>
        <v>1.1000917216171876E-2</v>
      </c>
      <c r="D47" s="301">
        <f t="shared" si="2"/>
        <v>7.4831191511161915E-3</v>
      </c>
      <c r="E47" s="302">
        <f t="shared" si="3"/>
        <v>-7.6147987095954422E-3</v>
      </c>
      <c r="F47" s="301" t="e">
        <f t="shared" si="4"/>
        <v>#REF!</v>
      </c>
      <c r="G47" s="301" t="e">
        <f t="shared" si="5"/>
        <v>#REF!</v>
      </c>
      <c r="H47" s="301" t="e">
        <f t="shared" si="6"/>
        <v>#REF!</v>
      </c>
      <c r="I47" s="301" t="e">
        <f t="shared" si="7"/>
        <v>#REF!</v>
      </c>
      <c r="J47" s="301" t="e">
        <f t="shared" si="8"/>
        <v>#REF!</v>
      </c>
      <c r="K47" s="301" t="e">
        <f t="shared" si="9"/>
        <v>#REF!</v>
      </c>
      <c r="L47" s="301" t="e">
        <f t="shared" si="10"/>
        <v>#REF!</v>
      </c>
      <c r="M47" s="301" t="e">
        <f t="shared" si="11"/>
        <v>#REF!</v>
      </c>
      <c r="N47" s="301" t="e">
        <f t="shared" si="12"/>
        <v>#REF!</v>
      </c>
      <c r="O47" s="303" t="e">
        <f t="shared" si="13"/>
        <v>#REF!</v>
      </c>
    </row>
    <row r="48" spans="2:15" s="3" customFormat="1" ht="14.25" thickBot="1" x14ac:dyDescent="0.3">
      <c r="B48" s="309" t="s">
        <v>217</v>
      </c>
      <c r="C48" s="310">
        <f t="shared" si="1"/>
        <v>5.6110219485802026E-2</v>
      </c>
      <c r="D48" s="311">
        <f t="shared" si="2"/>
        <v>5.0981006682657815E-2</v>
      </c>
      <c r="E48" s="312">
        <f t="shared" si="3"/>
        <v>6.3037321492859691E-2</v>
      </c>
      <c r="F48" s="311" t="e">
        <f t="shared" si="4"/>
        <v>#REF!</v>
      </c>
      <c r="G48" s="311" t="e">
        <f t="shared" si="5"/>
        <v>#REF!</v>
      </c>
      <c r="H48" s="311" t="e">
        <f t="shared" si="6"/>
        <v>#REF!</v>
      </c>
      <c r="I48" s="311" t="e">
        <f t="shared" si="7"/>
        <v>#REF!</v>
      </c>
      <c r="J48" s="311" t="e">
        <f t="shared" si="8"/>
        <v>#REF!</v>
      </c>
      <c r="K48" s="311" t="e">
        <f t="shared" si="9"/>
        <v>#REF!</v>
      </c>
      <c r="L48" s="311" t="e">
        <f t="shared" si="10"/>
        <v>#REF!</v>
      </c>
      <c r="M48" s="311" t="e">
        <f t="shared" si="11"/>
        <v>#REF!</v>
      </c>
      <c r="N48" s="311" t="e">
        <f t="shared" si="12"/>
        <v>#REF!</v>
      </c>
      <c r="O48" s="313" t="e">
        <f t="shared" si="13"/>
        <v>#REF!</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15">
    <tabColor rgb="FF002060"/>
  </sheetPr>
  <dimension ref="B1:W25"/>
  <sheetViews>
    <sheetView zoomScale="81" zoomScaleNormal="81" workbookViewId="0">
      <selection activeCell="D8" sqref="D8"/>
    </sheetView>
  </sheetViews>
  <sheetFormatPr defaultColWidth="9.140625" defaultRowHeight="13.5" x14ac:dyDescent="0.25"/>
  <cols>
    <col min="1" max="1" width="3" style="1" customWidth="1"/>
    <col min="2" max="2" width="4.140625" style="1" customWidth="1"/>
    <col min="3" max="3" width="32.28515625" style="1" customWidth="1"/>
    <col min="4" max="4" width="11" style="1" customWidth="1"/>
    <col min="5" max="5" width="10.42578125" style="1" bestFit="1" customWidth="1"/>
    <col min="6" max="6" width="9.140625" style="1"/>
    <col min="7" max="7" width="7.85546875" style="1" bestFit="1" customWidth="1"/>
    <col min="8" max="8" width="9.140625" style="1"/>
    <col min="9" max="10" width="11.28515625" style="1" customWidth="1"/>
    <col min="11" max="16384" width="9.140625" style="1"/>
  </cols>
  <sheetData>
    <row r="1" spans="2:21" x14ac:dyDescent="0.25">
      <c r="C1" s="138"/>
      <c r="D1" s="138"/>
    </row>
    <row r="2" spans="2:21" s="1171" customFormat="1" ht="20.25" customHeight="1" x14ac:dyDescent="0.35">
      <c r="B2" s="1315"/>
      <c r="C2" s="1316" t="s">
        <v>1436</v>
      </c>
      <c r="D2" s="1317"/>
      <c r="E2" s="1317"/>
      <c r="F2" s="1317"/>
      <c r="G2" s="1317"/>
      <c r="H2" s="1318"/>
      <c r="I2" s="1318"/>
      <c r="J2" s="1318"/>
      <c r="K2" s="1318"/>
      <c r="L2" s="1318"/>
      <c r="M2" s="1319"/>
      <c r="N2" s="1322"/>
      <c r="O2" s="1"/>
      <c r="P2" s="1"/>
      <c r="Q2" s="1"/>
      <c r="R2" s="1"/>
      <c r="S2" s="1"/>
      <c r="T2" s="1"/>
      <c r="U2" s="1"/>
    </row>
    <row r="3" spans="2:21" ht="4.5" customHeight="1" x14ac:dyDescent="0.25"/>
    <row r="4" spans="2:21" x14ac:dyDescent="0.25">
      <c r="C4" s="256"/>
      <c r="D4" s="256"/>
      <c r="E4" s="1955" t="s">
        <v>1444</v>
      </c>
      <c r="F4" s="1954" t="s">
        <v>182</v>
      </c>
      <c r="G4" s="257"/>
      <c r="H4" s="258"/>
      <c r="I4" s="259" t="s">
        <v>966</v>
      </c>
      <c r="J4" s="260" t="s">
        <v>1442</v>
      </c>
    </row>
    <row r="5" spans="2:21" ht="14.25" thickBot="1" x14ac:dyDescent="0.3">
      <c r="C5" s="261" t="s">
        <v>1437</v>
      </c>
      <c r="D5" s="1956" t="s">
        <v>1102</v>
      </c>
      <c r="E5" s="262" t="s">
        <v>508</v>
      </c>
      <c r="F5" s="1953" t="s">
        <v>1439</v>
      </c>
      <c r="G5" s="262" t="s">
        <v>456</v>
      </c>
      <c r="H5" s="263" t="s">
        <v>1440</v>
      </c>
      <c r="I5" s="263" t="s">
        <v>1441</v>
      </c>
      <c r="J5" s="263" t="s">
        <v>508</v>
      </c>
    </row>
    <row r="6" spans="2:21" ht="14.25" thickTop="1" x14ac:dyDescent="0.25">
      <c r="C6" s="137" t="s">
        <v>491</v>
      </c>
      <c r="D6" s="1957">
        <v>0.85</v>
      </c>
      <c r="E6" s="1959">
        <f>+D6*0.666666666666667+0.333333333333333</f>
        <v>0.89999999999999991</v>
      </c>
      <c r="F6" s="1972">
        <v>25</v>
      </c>
      <c r="G6" s="1972">
        <v>50</v>
      </c>
      <c r="H6" s="264">
        <f>+F6/G6</f>
        <v>0.5</v>
      </c>
      <c r="I6" s="264">
        <f>+F15</f>
        <v>0.2</v>
      </c>
      <c r="J6" s="265">
        <f>+E6/(1+H6*(1-I6))</f>
        <v>0.64285714285714279</v>
      </c>
    </row>
    <row r="7" spans="2:21" x14ac:dyDescent="0.25">
      <c r="C7" s="137" t="s">
        <v>492</v>
      </c>
      <c r="D7" s="1957">
        <v>0.56000000000000005</v>
      </c>
      <c r="E7" s="1959">
        <f t="shared" ref="E7:E10" si="0">+D7*0.666666666666667+0.333333333333333</f>
        <v>0.70666666666666655</v>
      </c>
      <c r="F7" s="1972">
        <v>35</v>
      </c>
      <c r="G7" s="1972">
        <v>50</v>
      </c>
      <c r="H7" s="264">
        <f>+F7/G7</f>
        <v>0.7</v>
      </c>
      <c r="I7" s="264">
        <f>+I6</f>
        <v>0.2</v>
      </c>
      <c r="J7" s="265">
        <f t="shared" ref="J7:J10" si="1">+E7/(1+H7*(1-I7))</f>
        <v>0.45299145299145288</v>
      </c>
    </row>
    <row r="8" spans="2:21" x14ac:dyDescent="0.25">
      <c r="C8" s="137" t="s">
        <v>493</v>
      </c>
      <c r="D8" s="1957">
        <v>0.87</v>
      </c>
      <c r="E8" s="1959">
        <f t="shared" si="0"/>
        <v>0.91333333333333333</v>
      </c>
      <c r="F8" s="1972">
        <v>40</v>
      </c>
      <c r="G8" s="1972">
        <v>80</v>
      </c>
      <c r="H8" s="264">
        <f>+F8/G8</f>
        <v>0.5</v>
      </c>
      <c r="I8" s="264">
        <f>+I7</f>
        <v>0.2</v>
      </c>
      <c r="J8" s="265">
        <f t="shared" si="1"/>
        <v>0.65238095238095239</v>
      </c>
      <c r="N8" s="3"/>
    </row>
    <row r="9" spans="2:21" x14ac:dyDescent="0.25">
      <c r="C9" s="137" t="s">
        <v>494</v>
      </c>
      <c r="D9" s="1957">
        <v>0.65</v>
      </c>
      <c r="E9" s="1959">
        <f t="shared" si="0"/>
        <v>0.7666666666666665</v>
      </c>
      <c r="F9" s="1972">
        <v>35</v>
      </c>
      <c r="G9" s="1972">
        <v>100</v>
      </c>
      <c r="H9" s="264">
        <f>+F9/G9</f>
        <v>0.35</v>
      </c>
      <c r="I9" s="264">
        <f>+I8</f>
        <v>0.2</v>
      </c>
      <c r="J9" s="265">
        <f t="shared" si="1"/>
        <v>0.59895833333333315</v>
      </c>
    </row>
    <row r="10" spans="2:21" x14ac:dyDescent="0.25">
      <c r="C10" s="139" t="s">
        <v>495</v>
      </c>
      <c r="D10" s="1958">
        <v>0.75</v>
      </c>
      <c r="E10" s="1960">
        <f t="shared" si="0"/>
        <v>0.83333333333333326</v>
      </c>
      <c r="F10" s="1973">
        <v>75</v>
      </c>
      <c r="G10" s="1973">
        <v>50</v>
      </c>
      <c r="H10" s="266">
        <f>+F10/G10</f>
        <v>1.5</v>
      </c>
      <c r="I10" s="266">
        <f>+I9</f>
        <v>0.2</v>
      </c>
      <c r="J10" s="267">
        <f t="shared" si="1"/>
        <v>0.37878787878787873</v>
      </c>
    </row>
    <row r="11" spans="2:21" x14ac:dyDescent="0.25">
      <c r="C11" s="235" t="s">
        <v>1447</v>
      </c>
      <c r="D11" s="2043">
        <f>+AVERAGE(D6:D10)</f>
        <v>0.73599999999999999</v>
      </c>
      <c r="E11" s="268">
        <f>+AVERAGE(E6:E10)</f>
        <v>0.82399999999999984</v>
      </c>
      <c r="F11" s="236"/>
      <c r="G11" s="236"/>
      <c r="H11" s="269">
        <f>+AVERAGE(H6:H10)</f>
        <v>0.71</v>
      </c>
      <c r="I11" s="269">
        <v>0.2</v>
      </c>
      <c r="J11" s="270">
        <f>+AVERAGE(J6:J10)</f>
        <v>0.54519515207015201</v>
      </c>
    </row>
    <row r="12" spans="2:21" ht="12.75" customHeight="1" x14ac:dyDescent="0.25"/>
    <row r="13" spans="2:21" x14ac:dyDescent="0.25">
      <c r="C13" s="2118"/>
      <c r="D13" s="1979" t="s">
        <v>182</v>
      </c>
      <c r="E13" s="1980"/>
      <c r="F13" s="1979" t="s">
        <v>966</v>
      </c>
      <c r="G13" s="258"/>
    </row>
    <row r="14" spans="2:21" ht="14.25" thickBot="1" x14ac:dyDescent="0.3">
      <c r="C14" s="2119"/>
      <c r="D14" s="1981" t="s">
        <v>1438</v>
      </c>
      <c r="E14" s="1981" t="s">
        <v>456</v>
      </c>
      <c r="F14" s="1981" t="s">
        <v>1441</v>
      </c>
      <c r="G14" s="263" t="s">
        <v>1440</v>
      </c>
    </row>
    <row r="15" spans="2:21" ht="14.25" thickTop="1" x14ac:dyDescent="0.25">
      <c r="C15" s="271" t="s">
        <v>1445</v>
      </c>
      <c r="D15" s="1982">
        <f>+Mali!J26+Mali!J34</f>
        <v>5456.9120000000003</v>
      </c>
      <c r="E15" s="1982">
        <f>+Mali!J42</f>
        <v>4675.8370000000004</v>
      </c>
      <c r="F15" s="1983">
        <v>0.2</v>
      </c>
      <c r="G15" s="272">
        <f>+D15/E15</f>
        <v>1.1670449590094778</v>
      </c>
    </row>
    <row r="16" spans="2:21" x14ac:dyDescent="0.25">
      <c r="C16" s="273" t="s">
        <v>1446</v>
      </c>
      <c r="D16" s="164"/>
      <c r="E16" s="164"/>
      <c r="F16" s="164"/>
      <c r="G16" s="1984">
        <f>+J11*(1+G15*(1-F15))</f>
        <v>1.0542089551900533</v>
      </c>
    </row>
    <row r="17" spans="2:23" ht="14.25" thickBot="1" x14ac:dyDescent="0.3"/>
    <row r="18" spans="2:23" s="319" customFormat="1" ht="19.5" thickBot="1" x14ac:dyDescent="0.35">
      <c r="B18" s="1280"/>
      <c r="C18" s="1281" t="s">
        <v>1436</v>
      </c>
      <c r="D18" s="1282"/>
      <c r="E18" s="1282"/>
      <c r="F18" s="1282"/>
      <c r="G18" s="1283"/>
      <c r="H18" s="1284"/>
      <c r="I18" s="1285"/>
      <c r="J18" s="1285"/>
      <c r="K18" s="1285"/>
      <c r="L18" s="1286"/>
      <c r="M18" s="1286"/>
      <c r="N18" s="1287"/>
      <c r="O18" s="1"/>
      <c r="P18" s="1"/>
      <c r="Q18" s="1"/>
      <c r="R18" s="1"/>
      <c r="S18" s="1"/>
      <c r="T18" s="1"/>
      <c r="W18" s="54"/>
    </row>
    <row r="19" spans="2:23" ht="4.9000000000000004" customHeight="1" x14ac:dyDescent="0.25"/>
    <row r="20" spans="2:23" ht="15.75" thickBot="1" x14ac:dyDescent="0.3">
      <c r="B20" s="4"/>
      <c r="C20" s="72" t="s">
        <v>384</v>
      </c>
      <c r="D20" s="377" t="s">
        <v>1451</v>
      </c>
      <c r="E20" s="1969">
        <f>+Web!D9+1</f>
        <v>2016</v>
      </c>
      <c r="F20" s="1970">
        <f>+E20+1</f>
        <v>2017</v>
      </c>
      <c r="G20" s="1970">
        <f t="shared" ref="G20:N20" si="2">+F20+1</f>
        <v>2018</v>
      </c>
      <c r="H20" s="1970">
        <f t="shared" si="2"/>
        <v>2019</v>
      </c>
      <c r="I20" s="1970">
        <f t="shared" si="2"/>
        <v>2020</v>
      </c>
      <c r="J20" s="1970">
        <f t="shared" si="2"/>
        <v>2021</v>
      </c>
      <c r="K20" s="1970">
        <f t="shared" si="2"/>
        <v>2022</v>
      </c>
      <c r="L20" s="1970">
        <f t="shared" si="2"/>
        <v>2023</v>
      </c>
      <c r="M20" s="1970">
        <f t="shared" si="2"/>
        <v>2024</v>
      </c>
      <c r="N20" s="1971">
        <f t="shared" si="2"/>
        <v>2025</v>
      </c>
    </row>
    <row r="21" spans="2:23" ht="15" x14ac:dyDescent="0.25">
      <c r="B21" s="348">
        <v>1</v>
      </c>
      <c r="C21" s="349" t="s">
        <v>1448</v>
      </c>
      <c r="D21" s="1961">
        <f>+D11</f>
        <v>0.73599999999999999</v>
      </c>
      <c r="E21" s="1964">
        <f>+D21</f>
        <v>0.73599999999999999</v>
      </c>
      <c r="F21" s="1964">
        <f t="shared" ref="F21:N21" si="3">+E21</f>
        <v>0.73599999999999999</v>
      </c>
      <c r="G21" s="1964">
        <f t="shared" si="3"/>
        <v>0.73599999999999999</v>
      </c>
      <c r="H21" s="1964">
        <f t="shared" si="3"/>
        <v>0.73599999999999999</v>
      </c>
      <c r="I21" s="1964">
        <f t="shared" si="3"/>
        <v>0.73599999999999999</v>
      </c>
      <c r="J21" s="1964">
        <f t="shared" si="3"/>
        <v>0.73599999999999999</v>
      </c>
      <c r="K21" s="1964">
        <f t="shared" si="3"/>
        <v>0.73599999999999999</v>
      </c>
      <c r="L21" s="1964">
        <f t="shared" si="3"/>
        <v>0.73599999999999999</v>
      </c>
      <c r="M21" s="1964">
        <f t="shared" si="3"/>
        <v>0.73599999999999999</v>
      </c>
      <c r="N21" s="1965">
        <f t="shared" si="3"/>
        <v>0.73599999999999999</v>
      </c>
    </row>
    <row r="22" spans="2:23" ht="15" x14ac:dyDescent="0.25">
      <c r="B22" s="353">
        <v>2</v>
      </c>
      <c r="C22" s="354" t="s">
        <v>1449</v>
      </c>
      <c r="D22" s="1962">
        <f>+E11</f>
        <v>0.82399999999999984</v>
      </c>
      <c r="E22" s="1966">
        <f t="shared" ref="E22:N23" si="4">+D22</f>
        <v>0.82399999999999984</v>
      </c>
      <c r="F22" s="1966">
        <f t="shared" si="4"/>
        <v>0.82399999999999984</v>
      </c>
      <c r="G22" s="1966">
        <f t="shared" si="4"/>
        <v>0.82399999999999984</v>
      </c>
      <c r="H22" s="1966">
        <f t="shared" si="4"/>
        <v>0.82399999999999984</v>
      </c>
      <c r="I22" s="1966">
        <f t="shared" si="4"/>
        <v>0.82399999999999984</v>
      </c>
      <c r="J22" s="1966">
        <f t="shared" si="4"/>
        <v>0.82399999999999984</v>
      </c>
      <c r="K22" s="1966">
        <f t="shared" si="4"/>
        <v>0.82399999999999984</v>
      </c>
      <c r="L22" s="1966">
        <f t="shared" si="4"/>
        <v>0.82399999999999984</v>
      </c>
      <c r="M22" s="1966">
        <f t="shared" si="4"/>
        <v>0.82399999999999984</v>
      </c>
      <c r="N22" s="1965">
        <f t="shared" si="4"/>
        <v>0.82399999999999984</v>
      </c>
    </row>
    <row r="23" spans="2:23" ht="15" x14ac:dyDescent="0.25">
      <c r="B23" s="353">
        <v>3</v>
      </c>
      <c r="C23" s="357" t="s">
        <v>1450</v>
      </c>
      <c r="D23" s="1963">
        <f>+G16</f>
        <v>1.0542089551900533</v>
      </c>
      <c r="E23" s="1967">
        <f t="shared" si="4"/>
        <v>1.0542089551900533</v>
      </c>
      <c r="F23" s="1967">
        <f t="shared" si="4"/>
        <v>1.0542089551900533</v>
      </c>
      <c r="G23" s="1967">
        <f t="shared" si="4"/>
        <v>1.0542089551900533</v>
      </c>
      <c r="H23" s="1967">
        <f t="shared" si="4"/>
        <v>1.0542089551900533</v>
      </c>
      <c r="I23" s="1967">
        <f t="shared" si="4"/>
        <v>1.0542089551900533</v>
      </c>
      <c r="J23" s="1967">
        <f t="shared" si="4"/>
        <v>1.0542089551900533</v>
      </c>
      <c r="K23" s="1967">
        <f t="shared" si="4"/>
        <v>1.0542089551900533</v>
      </c>
      <c r="L23" s="1967">
        <f t="shared" si="4"/>
        <v>1.0542089551900533</v>
      </c>
      <c r="M23" s="1967">
        <f t="shared" si="4"/>
        <v>1.0542089551900533</v>
      </c>
      <c r="N23" s="1968">
        <f t="shared" si="4"/>
        <v>1.0542089551900533</v>
      </c>
    </row>
    <row r="24" spans="2:23" ht="7.15" customHeight="1" x14ac:dyDescent="0.25">
      <c r="B24" s="4"/>
      <c r="C24" s="4"/>
      <c r="D24" s="4"/>
      <c r="E24" s="4"/>
      <c r="F24" s="4"/>
      <c r="G24" s="4"/>
      <c r="H24" s="4"/>
      <c r="I24" s="4"/>
      <c r="J24" s="4"/>
      <c r="K24" s="4"/>
      <c r="L24" s="4"/>
      <c r="M24" s="4"/>
      <c r="N24" s="4"/>
    </row>
    <row r="25" spans="2:23" ht="15" x14ac:dyDescent="0.25">
      <c r="B25" s="4"/>
      <c r="C25" s="40" t="s">
        <v>1443</v>
      </c>
      <c r="D25" s="361">
        <v>3</v>
      </c>
      <c r="E25" s="1974">
        <f>IF($D$25=1,E21,IF($D$25=2,E22,E23))</f>
        <v>1.0542089551900533</v>
      </c>
      <c r="F25" s="1974">
        <f t="shared" ref="F25:N25" si="5">IF($D$25=1,F21,IF($D$25=2,F22,F23))</f>
        <v>1.0542089551900533</v>
      </c>
      <c r="G25" s="1974">
        <f t="shared" si="5"/>
        <v>1.0542089551900533</v>
      </c>
      <c r="H25" s="1974">
        <f t="shared" si="5"/>
        <v>1.0542089551900533</v>
      </c>
      <c r="I25" s="1974">
        <f t="shared" si="5"/>
        <v>1.0542089551900533</v>
      </c>
      <c r="J25" s="1974">
        <f t="shared" si="5"/>
        <v>1.0542089551900533</v>
      </c>
      <c r="K25" s="1974">
        <f t="shared" si="5"/>
        <v>1.0542089551900533</v>
      </c>
      <c r="L25" s="1974">
        <f t="shared" si="5"/>
        <v>1.0542089551900533</v>
      </c>
      <c r="M25" s="1974">
        <f t="shared" si="5"/>
        <v>1.0542089551900533</v>
      </c>
      <c r="N25" s="1975">
        <f t="shared" si="5"/>
        <v>1.0542089551900533</v>
      </c>
    </row>
  </sheetData>
  <mergeCells count="1">
    <mergeCell ref="C13:C14"/>
  </mergeCell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16">
    <tabColor rgb="FF002060"/>
  </sheetPr>
  <dimension ref="B2:R63"/>
  <sheetViews>
    <sheetView zoomScale="82" zoomScaleNormal="82" workbookViewId="0">
      <selection activeCell="H25" sqref="H25"/>
    </sheetView>
  </sheetViews>
  <sheetFormatPr defaultColWidth="11.42578125" defaultRowHeight="15.75" x14ac:dyDescent="0.25"/>
  <cols>
    <col min="1" max="1" width="11.42578125" style="122"/>
    <col min="2" max="2" width="34.85546875" style="122" customWidth="1"/>
    <col min="3" max="3" width="9.85546875" style="122" customWidth="1"/>
    <col min="4" max="6" width="10.42578125" style="122" bestFit="1" customWidth="1"/>
    <col min="7" max="7" width="13.5703125" style="122" customWidth="1"/>
    <col min="8" max="8" width="12.85546875" style="122" customWidth="1"/>
    <col min="9" max="13" width="11.5703125" style="122" bestFit="1" customWidth="1"/>
    <col min="14" max="14" width="12.28515625" style="122" bestFit="1" customWidth="1"/>
    <col min="15" max="15" width="13.28515625" style="122" bestFit="1" customWidth="1"/>
    <col min="16" max="16" width="12.42578125" style="122" bestFit="1" customWidth="1"/>
    <col min="17" max="16384" width="11.42578125" style="122"/>
  </cols>
  <sheetData>
    <row r="2" spans="2:11" ht="24.75" thickBot="1" x14ac:dyDescent="0.45">
      <c r="B2" s="131" t="s">
        <v>435</v>
      </c>
      <c r="C2" s="131"/>
      <c r="D2" s="131"/>
      <c r="E2" s="131"/>
      <c r="F2" s="131"/>
      <c r="G2" s="131"/>
      <c r="H2" s="132" t="str">
        <f>UFRS!C2</f>
        <v>ARCLK</v>
      </c>
      <c r="J2" s="123" t="s">
        <v>436</v>
      </c>
      <c r="K2" s="124">
        <v>12575.301895049999</v>
      </c>
    </row>
    <row r="3" spans="2:11" ht="9" customHeight="1" thickTop="1" thickBot="1" x14ac:dyDescent="0.3">
      <c r="B3" s="125"/>
      <c r="C3" s="125"/>
      <c r="D3" s="125"/>
      <c r="E3" s="126"/>
      <c r="F3" s="125"/>
      <c r="G3" s="125"/>
    </row>
    <row r="4" spans="2:11" s="121" customFormat="1" ht="16.5" thickBot="1" x14ac:dyDescent="0.3">
      <c r="B4" s="127" t="s">
        <v>847</v>
      </c>
      <c r="C4" s="128" t="s">
        <v>833</v>
      </c>
      <c r="D4" s="797" t="str">
        <f>+Mali!H3</f>
        <v>2013/12</v>
      </c>
      <c r="E4" s="129" t="str">
        <f>+Mali!I3</f>
        <v>2014/12</v>
      </c>
      <c r="F4" s="798" t="str">
        <f>+Mali!J3</f>
        <v>2015/12</v>
      </c>
      <c r="G4" s="129" t="s">
        <v>850</v>
      </c>
      <c r="H4" s="130" t="s">
        <v>850</v>
      </c>
    </row>
    <row r="5" spans="2:11" s="125" customFormat="1" ht="16.5" thickTop="1" x14ac:dyDescent="0.25">
      <c r="B5" s="805" t="s">
        <v>834</v>
      </c>
      <c r="C5" s="133">
        <v>3.25</v>
      </c>
      <c r="D5" s="801">
        <v>3.25</v>
      </c>
      <c r="E5" s="801">
        <v>3.25</v>
      </c>
      <c r="F5" s="801">
        <v>3.25</v>
      </c>
      <c r="G5" s="801"/>
      <c r="H5" s="802"/>
    </row>
    <row r="6" spans="2:11" s="125" customFormat="1" x14ac:dyDescent="0.25">
      <c r="B6" s="806" t="s">
        <v>835</v>
      </c>
      <c r="C6" s="134">
        <v>6.56</v>
      </c>
      <c r="D6" s="799">
        <f>+(Mali!H4-Mali!H25)/Mali!H23</f>
        <v>0.31268085752274399</v>
      </c>
      <c r="E6" s="799">
        <f>+(Mali!I4-Mali!I25)/Mali!I23</f>
        <v>0.32601471318486763</v>
      </c>
      <c r="F6" s="799">
        <f>+(Mali!J4-Mali!J25)/Mali!J23</f>
        <v>0.30352313366196682</v>
      </c>
      <c r="G6" s="803"/>
      <c r="H6" s="804"/>
    </row>
    <row r="7" spans="2:11" s="125" customFormat="1" x14ac:dyDescent="0.25">
      <c r="B7" s="806" t="s">
        <v>836</v>
      </c>
      <c r="C7" s="134">
        <v>3.26</v>
      </c>
      <c r="D7" s="799">
        <f>+(Mali!H46+Mali!H47+Web!H20)/Mali!H23</f>
        <v>0.18972648646261175</v>
      </c>
      <c r="E7" s="799">
        <f>+(Mali!I46+Mali!I47+Web!I20)/Mali!I23</f>
        <v>0.19675974313846584</v>
      </c>
      <c r="F7" s="799">
        <f>+(Mali!J46+Mali!J47+Web!J20)/Mali!J23</f>
        <v>0.19922228818442289</v>
      </c>
      <c r="G7" s="803"/>
      <c r="H7" s="804"/>
    </row>
    <row r="8" spans="2:11" s="125" customFormat="1" x14ac:dyDescent="0.25">
      <c r="B8" s="806" t="s">
        <v>837</v>
      </c>
      <c r="C8" s="134">
        <v>6.72</v>
      </c>
      <c r="D8" s="799">
        <f>+Mali!H63/Mali!H23</f>
        <v>7.5466947614021465E-2</v>
      </c>
      <c r="E8" s="799">
        <f>+Mali!I63/Mali!I23</f>
        <v>7.9688632638712162E-2</v>
      </c>
      <c r="F8" s="799">
        <f>+Mali!J63/Mali!J23</f>
        <v>7.9094323779554498E-2</v>
      </c>
      <c r="G8" s="803"/>
      <c r="H8" s="804"/>
    </row>
    <row r="9" spans="2:11" s="125" customFormat="1" x14ac:dyDescent="0.25">
      <c r="B9" s="807" t="s">
        <v>838</v>
      </c>
      <c r="C9" s="808">
        <v>1.05</v>
      </c>
      <c r="D9" s="809">
        <f>+Mali!H42/(Mali!H33+Mali!H25)</f>
        <v>0.56912334162064648</v>
      </c>
      <c r="E9" s="809">
        <f>+Mali!I42/(Mali!I33+Mali!I25)</f>
        <v>0.55009118584366512</v>
      </c>
      <c r="F9" s="809">
        <f>+Mali!J42/(Mali!J33+Mali!J25)</f>
        <v>0.51594469224360029</v>
      </c>
      <c r="G9" s="810"/>
      <c r="H9" s="811"/>
    </row>
    <row r="10" spans="2:11" s="125" customFormat="1" ht="16.5" thickBot="1" x14ac:dyDescent="0.3">
      <c r="B10" s="812" t="s">
        <v>839</v>
      </c>
      <c r="C10" s="813"/>
      <c r="D10" s="814">
        <f>+SUMPRODUCT($C$6:$C$9,D6:D9)+D5</f>
        <v>7.0244121678852176</v>
      </c>
      <c r="E10" s="814">
        <f>+SUMPRODUCT($C$6:$C$9,E6:E9)+E5</f>
        <v>7.1431966375921245</v>
      </c>
      <c r="F10" s="814">
        <f>+SUMPRODUCT($C$6:$C$9,F6:F9)+F5</f>
        <v>6.9638321989581069</v>
      </c>
      <c r="G10" s="814"/>
      <c r="H10" s="815"/>
    </row>
    <row r="11" spans="2:11" s="125" customFormat="1" ht="6" customHeight="1" thickBot="1" x14ac:dyDescent="0.3">
      <c r="D11" s="800"/>
      <c r="E11" s="800"/>
      <c r="F11" s="800"/>
      <c r="G11" s="800"/>
      <c r="H11" s="800"/>
    </row>
    <row r="12" spans="2:11" s="125" customFormat="1" x14ac:dyDescent="0.25">
      <c r="B12" s="2120" t="s">
        <v>840</v>
      </c>
      <c r="C12" s="2121"/>
      <c r="D12" s="816" t="str">
        <f>IF(D10&gt;8.15,"AAA",IF(D10&gt;7.3,"AA",IF(D10&gt;6.85,"A+",IF(D10&gt;6.65,"A",IF(D10&gt;6.4,"A-",IF(D10&gt;6.25,"BBB+",IF(D10&gt;5.85,"BBB",IF(D10&gt;5.65,"BBB-",IF(D10&gt;5.25,"BB+",IF(D10&gt;4.95,"BB",IF(D10&gt;4.75,"BB-",IF(D10&gt;4.5,"B+",IF(D10&gt;4.15,"B",IF(D10&gt;3.75,"B-",IF(D10&gt;3.2,"CCC+",IF(D10&gt;2.5,"CCC",IF(D10&gt;1.75,"CCC-","D")))))))))))))))))</f>
        <v>A+</v>
      </c>
      <c r="E12" s="816" t="str">
        <f t="shared" ref="E12:F12" si="0">IF(E10&gt;8.15,"AAA",IF(E10&gt;7.3,"AA",IF(E10&gt;6.85,"A+",IF(E10&gt;6.65,"A",IF(E10&gt;6.4,"A-",IF(E10&gt;6.25,"BBB+",IF(E10&gt;5.85,"BBB",IF(E10&gt;5.65,"BBB-",IF(E10&gt;5.25,"BB+",IF(E10&gt;4.95,"BB",IF(E10&gt;4.75,"BB-",IF(E10&gt;4.5,"B+",IF(E10&gt;4.15,"B",IF(E10&gt;3.75,"B-",IF(E10&gt;3.2,"CCC+",IF(E10&gt;2.5,"CCC",IF(E10&gt;1.75,"CCC-","D")))))))))))))))))</f>
        <v>A+</v>
      </c>
      <c r="F12" s="816" t="str">
        <f t="shared" si="0"/>
        <v>A+</v>
      </c>
      <c r="G12" s="816"/>
      <c r="H12" s="816"/>
    </row>
    <row r="13" spans="2:11" s="125" customFormat="1" ht="16.5" thickBot="1" x14ac:dyDescent="0.3">
      <c r="B13" s="2122" t="s">
        <v>859</v>
      </c>
      <c r="C13" s="2123"/>
      <c r="D13" s="1709">
        <f>+IF($H$15=2,VLOOKUP(D12,$B$17:$C$32,2,FALSE),VLOOKUP(D12,$B$36:$C$51,2,FALSE))</f>
        <v>1.0999999999999999E-2</v>
      </c>
      <c r="E13" s="1709">
        <f>+IF($H$15=2,VLOOKUP(E12,$B$17:$C$32,2,FALSE),VLOOKUP(E12,$B$36:$C$51,2,FALSE))</f>
        <v>1.0999999999999999E-2</v>
      </c>
      <c r="F13" s="1709">
        <f>+IF($H$15=2,VLOOKUP(F12,$B$17:$C$32,2,FALSE),VLOOKUP(F12,$B$36:$C$51,2,FALSE))</f>
        <v>1.0999999999999999E-2</v>
      </c>
      <c r="G13" s="1710"/>
      <c r="H13" s="1710"/>
    </row>
    <row r="14" spans="2:11" s="125" customFormat="1" ht="16.5" thickBot="1" x14ac:dyDescent="0.3"/>
    <row r="15" spans="2:11" s="121" customFormat="1" ht="16.5" thickBot="1" x14ac:dyDescent="0.3">
      <c r="B15" s="819"/>
      <c r="C15" s="819"/>
      <c r="G15" s="817" t="s">
        <v>860</v>
      </c>
      <c r="H15" s="818">
        <f>+IF(Mali!J56&gt;150,2,1)</f>
        <v>2</v>
      </c>
    </row>
    <row r="16" spans="2:11" s="125" customFormat="1" x14ac:dyDescent="0.25">
      <c r="B16" s="135"/>
      <c r="C16" s="135"/>
    </row>
    <row r="17" spans="2:9" s="125" customFormat="1" x14ac:dyDescent="0.25">
      <c r="B17" s="820" t="s">
        <v>437</v>
      </c>
      <c r="C17" s="820" t="s">
        <v>438</v>
      </c>
      <c r="G17" s="1475"/>
      <c r="H17" s="1476" t="s">
        <v>861</v>
      </c>
    </row>
    <row r="18" spans="2:9" s="125" customFormat="1" x14ac:dyDescent="0.25">
      <c r="B18" s="821" t="s">
        <v>439</v>
      </c>
      <c r="C18" s="822">
        <v>0.2</v>
      </c>
      <c r="G18" s="1477"/>
      <c r="H18" s="1478" t="s">
        <v>862</v>
      </c>
    </row>
    <row r="19" spans="2:9" s="125" customFormat="1" x14ac:dyDescent="0.25">
      <c r="B19" s="821" t="s">
        <v>440</v>
      </c>
      <c r="C19" s="822">
        <v>0.16</v>
      </c>
    </row>
    <row r="20" spans="2:9" s="125" customFormat="1" x14ac:dyDescent="0.25">
      <c r="B20" s="821" t="s">
        <v>441</v>
      </c>
      <c r="C20" s="822">
        <v>0.12</v>
      </c>
      <c r="G20" s="121"/>
    </row>
    <row r="21" spans="2:9" s="125" customFormat="1" x14ac:dyDescent="0.25">
      <c r="B21" s="821" t="s">
        <v>442</v>
      </c>
      <c r="C21" s="822">
        <v>0.09</v>
      </c>
      <c r="G21" s="121"/>
    </row>
    <row r="22" spans="2:9" s="125" customFormat="1" x14ac:dyDescent="0.25">
      <c r="B22" s="821" t="s">
        <v>443</v>
      </c>
      <c r="C22" s="822">
        <v>7.4999999999999997E-2</v>
      </c>
      <c r="G22" s="121"/>
    </row>
    <row r="23" spans="2:9" s="125" customFormat="1" x14ac:dyDescent="0.25">
      <c r="B23" s="821" t="s">
        <v>444</v>
      </c>
      <c r="C23" s="822">
        <v>6.5000000000000002E-2</v>
      </c>
      <c r="G23" s="121"/>
      <c r="I23" s="1479"/>
    </row>
    <row r="24" spans="2:9" s="125" customFormat="1" x14ac:dyDescent="0.25">
      <c r="B24" s="821" t="s">
        <v>445</v>
      </c>
      <c r="C24" s="822">
        <v>5.5E-2</v>
      </c>
      <c r="G24" s="121"/>
    </row>
    <row r="25" spans="2:9" s="125" customFormat="1" x14ac:dyDescent="0.25">
      <c r="B25" s="821" t="s">
        <v>446</v>
      </c>
      <c r="C25" s="822">
        <v>4.2500000000000003E-2</v>
      </c>
      <c r="G25" s="121"/>
    </row>
    <row r="26" spans="2:9" s="125" customFormat="1" x14ac:dyDescent="0.25">
      <c r="B26" s="821" t="s">
        <v>447</v>
      </c>
      <c r="C26" s="822">
        <v>3.2500000000000001E-2</v>
      </c>
      <c r="G26" s="121"/>
    </row>
    <row r="27" spans="2:9" s="125" customFormat="1" x14ac:dyDescent="0.25">
      <c r="B27" s="821" t="s">
        <v>448</v>
      </c>
      <c r="C27" s="822">
        <v>2.2499999999999999E-2</v>
      </c>
      <c r="G27" s="121"/>
    </row>
    <row r="28" spans="2:9" s="125" customFormat="1" x14ac:dyDescent="0.25">
      <c r="B28" s="821" t="s">
        <v>449</v>
      </c>
      <c r="C28" s="822">
        <v>1.7500000000000002E-2</v>
      </c>
      <c r="G28" s="121"/>
    </row>
    <row r="29" spans="2:9" s="125" customFormat="1" x14ac:dyDescent="0.25">
      <c r="B29" s="821" t="s">
        <v>450</v>
      </c>
      <c r="C29" s="822">
        <v>1.2500000000000001E-2</v>
      </c>
      <c r="G29" s="121"/>
    </row>
    <row r="30" spans="2:9" s="125" customFormat="1" x14ac:dyDescent="0.25">
      <c r="B30" s="821" t="s">
        <v>451</v>
      </c>
      <c r="C30" s="822">
        <v>1.0999999999999999E-2</v>
      </c>
      <c r="G30" s="121"/>
    </row>
    <row r="31" spans="2:9" s="125" customFormat="1" x14ac:dyDescent="0.25">
      <c r="B31" s="821" t="s">
        <v>452</v>
      </c>
      <c r="C31" s="822">
        <v>0.01</v>
      </c>
      <c r="G31" s="121"/>
    </row>
    <row r="32" spans="2:9" s="125" customFormat="1" x14ac:dyDescent="0.25">
      <c r="B32" s="821" t="s">
        <v>453</v>
      </c>
      <c r="C32" s="822">
        <v>7.4999999999999997E-3</v>
      </c>
      <c r="G32" s="121"/>
    </row>
    <row r="33" spans="2:7" s="125" customFormat="1" x14ac:dyDescent="0.25">
      <c r="G33" s="121"/>
    </row>
    <row r="34" spans="2:7" s="125" customFormat="1" x14ac:dyDescent="0.25">
      <c r="B34" s="819"/>
      <c r="C34" s="819"/>
    </row>
    <row r="35" spans="2:7" s="125" customFormat="1" x14ac:dyDescent="0.25">
      <c r="B35" s="821"/>
      <c r="C35" s="821"/>
    </row>
    <row r="36" spans="2:7" s="125" customFormat="1" x14ac:dyDescent="0.25">
      <c r="B36" s="820" t="s">
        <v>437</v>
      </c>
      <c r="C36" s="820" t="s">
        <v>438</v>
      </c>
    </row>
    <row r="37" spans="2:7" s="125" customFormat="1" x14ac:dyDescent="0.25">
      <c r="B37" s="821" t="s">
        <v>439</v>
      </c>
      <c r="C37" s="822">
        <v>0.2</v>
      </c>
    </row>
    <row r="38" spans="2:7" s="125" customFormat="1" x14ac:dyDescent="0.25">
      <c r="B38" s="821" t="s">
        <v>440</v>
      </c>
      <c r="C38" s="822">
        <v>0.16</v>
      </c>
    </row>
    <row r="39" spans="2:7" s="125" customFormat="1" x14ac:dyDescent="0.25">
      <c r="B39" s="821" t="s">
        <v>441</v>
      </c>
      <c r="C39" s="822">
        <v>0.12</v>
      </c>
    </row>
    <row r="40" spans="2:7" s="125" customFormat="1" x14ac:dyDescent="0.25">
      <c r="B40" s="821" t="s">
        <v>442</v>
      </c>
      <c r="C40" s="822">
        <v>0.09</v>
      </c>
    </row>
    <row r="41" spans="2:7" s="125" customFormat="1" x14ac:dyDescent="0.25">
      <c r="B41" s="821" t="s">
        <v>443</v>
      </c>
      <c r="C41" s="822">
        <v>7.4999999999999997E-2</v>
      </c>
    </row>
    <row r="42" spans="2:7" s="125" customFormat="1" x14ac:dyDescent="0.25">
      <c r="B42" s="821" t="s">
        <v>444</v>
      </c>
      <c r="C42" s="822">
        <v>6.5000000000000002E-2</v>
      </c>
    </row>
    <row r="43" spans="2:7" s="125" customFormat="1" x14ac:dyDescent="0.25">
      <c r="B43" s="821" t="s">
        <v>445</v>
      </c>
      <c r="C43" s="822">
        <v>5.5E-2</v>
      </c>
    </row>
    <row r="44" spans="2:7" s="125" customFormat="1" x14ac:dyDescent="0.25">
      <c r="B44" s="821" t="s">
        <v>446</v>
      </c>
      <c r="C44" s="822">
        <v>4.2500000000000003E-2</v>
      </c>
    </row>
    <row r="45" spans="2:7" s="125" customFormat="1" x14ac:dyDescent="0.25">
      <c r="B45" s="821" t="s">
        <v>447</v>
      </c>
      <c r="C45" s="822">
        <v>3.2500000000000001E-2</v>
      </c>
    </row>
    <row r="46" spans="2:7" s="125" customFormat="1" x14ac:dyDescent="0.25">
      <c r="B46" s="821" t="s">
        <v>448</v>
      </c>
      <c r="C46" s="822">
        <v>2.2499999999999999E-2</v>
      </c>
    </row>
    <row r="47" spans="2:7" s="125" customFormat="1" x14ac:dyDescent="0.25">
      <c r="B47" s="821" t="s">
        <v>449</v>
      </c>
      <c r="C47" s="822">
        <v>1.7500000000000002E-2</v>
      </c>
    </row>
    <row r="48" spans="2:7" s="125" customFormat="1" x14ac:dyDescent="0.25">
      <c r="B48" s="821" t="s">
        <v>450</v>
      </c>
      <c r="C48" s="822">
        <v>1.2500000000000001E-2</v>
      </c>
    </row>
    <row r="49" spans="2:18" s="125" customFormat="1" x14ac:dyDescent="0.25">
      <c r="B49" s="821" t="s">
        <v>451</v>
      </c>
      <c r="C49" s="822">
        <v>1.0999999999999999E-2</v>
      </c>
    </row>
    <row r="50" spans="2:18" s="125" customFormat="1" x14ac:dyDescent="0.25">
      <c r="B50" s="821" t="s">
        <v>452</v>
      </c>
      <c r="C50" s="822">
        <v>0.01</v>
      </c>
    </row>
    <row r="51" spans="2:18" x14ac:dyDescent="0.25">
      <c r="B51" s="821" t="s">
        <v>453</v>
      </c>
      <c r="C51" s="822">
        <v>7.4999999999999997E-3</v>
      </c>
      <c r="G51" s="125"/>
    </row>
    <row r="52" spans="2:18" x14ac:dyDescent="0.25">
      <c r="B52" s="125"/>
      <c r="C52" s="125"/>
    </row>
    <row r="62" spans="2:18" x14ac:dyDescent="0.25">
      <c r="R62" s="3" t="s">
        <v>848</v>
      </c>
    </row>
    <row r="63" spans="2:18" x14ac:dyDescent="0.25">
      <c r="R63" s="796" t="s">
        <v>849</v>
      </c>
    </row>
  </sheetData>
  <mergeCells count="2">
    <mergeCell ref="B12:C12"/>
    <mergeCell ref="B13:C13"/>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17">
    <tabColor rgb="FF002060"/>
  </sheetPr>
  <dimension ref="B1:X81"/>
  <sheetViews>
    <sheetView topLeftCell="G64" zoomScale="202" zoomScaleNormal="202" workbookViewId="0">
      <selection activeCell="P91" sqref="P91"/>
    </sheetView>
  </sheetViews>
  <sheetFormatPr defaultColWidth="9.140625" defaultRowHeight="15" x14ac:dyDescent="0.25"/>
  <cols>
    <col min="1" max="1" width="3.42578125" style="99" customWidth="1"/>
    <col min="2" max="2" width="4.140625" style="99" customWidth="1"/>
    <col min="3" max="3" width="32" style="138" customWidth="1"/>
    <col min="4" max="4" width="8.28515625" style="238" customWidth="1"/>
    <col min="5" max="5" width="8.7109375" style="238" bestFit="1" customWidth="1"/>
    <col min="6" max="14" width="7.85546875" style="238" bestFit="1" customWidth="1"/>
    <col min="15" max="15" width="6.7109375" style="99" customWidth="1"/>
    <col min="16" max="16" width="9.140625" style="99"/>
    <col min="17" max="17" width="10.85546875" style="99" customWidth="1"/>
    <col min="18" max="22" width="9.140625" style="99"/>
    <col min="23" max="23" width="78" style="99" hidden="1" customWidth="1"/>
    <col min="24" max="16384" width="9.140625" style="99"/>
  </cols>
  <sheetData>
    <row r="1" spans="2:24" ht="12" customHeight="1" x14ac:dyDescent="0.25"/>
    <row r="2" spans="2:24" x14ac:dyDescent="0.25">
      <c r="B2" s="1727"/>
      <c r="C2" s="113" t="s">
        <v>269</v>
      </c>
      <c r="D2" s="1400" t="str">
        <f>+Web!D15</f>
        <v>TL</v>
      </c>
      <c r="W2" s="113" t="s">
        <v>269</v>
      </c>
    </row>
    <row r="3" spans="2:24" x14ac:dyDescent="0.25">
      <c r="B3" s="1727"/>
      <c r="C3" s="240" t="s">
        <v>833</v>
      </c>
      <c r="D3" s="1399">
        <f>+IF(Web!D21="YO",0.5,1)</f>
        <v>0.5</v>
      </c>
      <c r="E3" s="238">
        <f>D3+1</f>
        <v>1.5</v>
      </c>
      <c r="F3" s="238">
        <f t="shared" ref="F3:M3" si="0">E3+1</f>
        <v>2.5</v>
      </c>
      <c r="G3" s="238">
        <f t="shared" si="0"/>
        <v>3.5</v>
      </c>
      <c r="H3" s="238">
        <f t="shared" si="0"/>
        <v>4.5</v>
      </c>
      <c r="I3" s="238">
        <f t="shared" si="0"/>
        <v>5.5</v>
      </c>
      <c r="J3" s="238">
        <f t="shared" si="0"/>
        <v>6.5</v>
      </c>
      <c r="K3" s="238">
        <f t="shared" si="0"/>
        <v>7.5</v>
      </c>
      <c r="L3" s="238">
        <f t="shared" si="0"/>
        <v>8.5</v>
      </c>
      <c r="M3" s="238">
        <f t="shared" si="0"/>
        <v>9.5</v>
      </c>
      <c r="N3" s="238">
        <f>+M3</f>
        <v>9.5</v>
      </c>
      <c r="W3" s="240" t="s">
        <v>833</v>
      </c>
    </row>
    <row r="5" spans="2:24" s="1171" customFormat="1" ht="20.25" customHeight="1" x14ac:dyDescent="0.35">
      <c r="B5" s="1315"/>
      <c r="C5" s="1316" t="s">
        <v>1307</v>
      </c>
      <c r="D5" s="1317"/>
      <c r="E5" s="1317"/>
      <c r="F5" s="1317"/>
      <c r="G5" s="1318"/>
      <c r="H5" s="1318"/>
      <c r="I5" s="1318"/>
      <c r="J5" s="1318"/>
      <c r="K5" s="1318"/>
      <c r="L5" s="1319"/>
      <c r="M5" s="1319"/>
      <c r="N5" s="1318"/>
      <c r="O5" s="1320"/>
      <c r="P5" s="1320"/>
      <c r="Q5" s="1320"/>
      <c r="R5" s="1321"/>
      <c r="S5" s="1321"/>
      <c r="T5" s="1322"/>
      <c r="W5" s="1321" t="s">
        <v>469</v>
      </c>
    </row>
    <row r="6" spans="2:24" s="240" customFormat="1" ht="7.5" customHeight="1" thickBot="1" x14ac:dyDescent="0.3">
      <c r="N6" s="241"/>
    </row>
    <row r="7" spans="2:24" s="319" customFormat="1" ht="17.25" customHeight="1" thickBot="1" x14ac:dyDescent="0.35">
      <c r="B7" s="1280" t="s">
        <v>251</v>
      </c>
      <c r="C7" s="1281" t="s">
        <v>1309</v>
      </c>
      <c r="D7" s="1282"/>
      <c r="E7" s="1282"/>
      <c r="F7" s="1282"/>
      <c r="G7" s="1283"/>
      <c r="H7" s="1284"/>
      <c r="I7" s="1285"/>
      <c r="J7" s="1285"/>
      <c r="K7" s="1285"/>
      <c r="L7" s="1286"/>
      <c r="M7" s="1286"/>
      <c r="N7" s="1285"/>
      <c r="O7" s="1286"/>
      <c r="P7" s="1286"/>
      <c r="Q7" s="1286"/>
      <c r="R7" s="1286"/>
      <c r="S7" s="1286"/>
      <c r="T7" s="1287"/>
      <c r="W7" s="1286"/>
      <c r="X7" s="1632"/>
    </row>
    <row r="8" spans="2:24" s="319" customFormat="1" ht="9.75" customHeight="1" x14ac:dyDescent="0.3">
      <c r="N8" s="1717"/>
      <c r="X8" s="1632"/>
    </row>
    <row r="9" spans="2:24" ht="15.75" thickBot="1" x14ac:dyDescent="0.3">
      <c r="C9" s="1382" t="s">
        <v>1100</v>
      </c>
      <c r="D9" s="1409" t="str">
        <f>CONCATENATE($D$22+1,"T")</f>
        <v>2016T</v>
      </c>
      <c r="E9" s="1409" t="str">
        <f>CONCATENATE($D$22+2,"T")</f>
        <v>2017T</v>
      </c>
      <c r="F9" s="1409" t="str">
        <f>CONCATENATE($D$22+3,"T")</f>
        <v>2018T</v>
      </c>
      <c r="G9" s="1409" t="str">
        <f>CONCATENATE($D$22+4,"T")</f>
        <v>2019T</v>
      </c>
      <c r="H9" s="1409" t="str">
        <f>CONCATENATE($D$22+5,"T")</f>
        <v>2020T</v>
      </c>
      <c r="I9" s="1409" t="str">
        <f>CONCATENATE($D$22+6,"T")</f>
        <v>2021T</v>
      </c>
      <c r="J9" s="1409" t="str">
        <f>CONCATENATE($D$22+7,"T")</f>
        <v>2022T</v>
      </c>
      <c r="K9" s="1409" t="str">
        <f>CONCATENATE($D$22+8,"T")</f>
        <v>2023T</v>
      </c>
      <c r="L9" s="1409" t="str">
        <f>CONCATENATE($D$22+9,"T")</f>
        <v>2024T</v>
      </c>
      <c r="M9" s="1409" t="str">
        <f>CONCATENATE($D$22+10,"T")</f>
        <v>2025T</v>
      </c>
      <c r="N9" s="1718" t="s">
        <v>267</v>
      </c>
      <c r="O9" s="242"/>
      <c r="W9" s="1382" t="s">
        <v>458</v>
      </c>
    </row>
    <row r="10" spans="2:24" x14ac:dyDescent="0.25">
      <c r="C10" s="243" t="s">
        <v>455</v>
      </c>
      <c r="D10" s="244">
        <f>E23</f>
        <v>0.53854210737875774</v>
      </c>
      <c r="E10" s="232">
        <f>D10</f>
        <v>0.53854210737875774</v>
      </c>
      <c r="F10" s="232">
        <f t="shared" ref="F10:N10" si="1">E10</f>
        <v>0.53854210737875774</v>
      </c>
      <c r="G10" s="232">
        <f t="shared" si="1"/>
        <v>0.53854210737875774</v>
      </c>
      <c r="H10" s="232">
        <f t="shared" si="1"/>
        <v>0.53854210737875774</v>
      </c>
      <c r="I10" s="232">
        <f t="shared" si="1"/>
        <v>0.53854210737875774</v>
      </c>
      <c r="J10" s="232">
        <f t="shared" si="1"/>
        <v>0.53854210737875774</v>
      </c>
      <c r="K10" s="232">
        <f t="shared" si="1"/>
        <v>0.53854210737875774</v>
      </c>
      <c r="L10" s="232">
        <f t="shared" si="1"/>
        <v>0.53854210737875774</v>
      </c>
      <c r="M10" s="232">
        <f t="shared" si="1"/>
        <v>0.53854210737875774</v>
      </c>
      <c r="N10" s="232">
        <f t="shared" si="1"/>
        <v>0.53854210737875774</v>
      </c>
      <c r="O10" s="245"/>
      <c r="W10" s="243" t="s">
        <v>459</v>
      </c>
    </row>
    <row r="11" spans="2:24" x14ac:dyDescent="0.25">
      <c r="C11" s="1383" t="s">
        <v>456</v>
      </c>
      <c r="D11" s="1384">
        <f>E24</f>
        <v>0.46145789262124232</v>
      </c>
      <c r="E11" s="1385">
        <f t="shared" ref="E11:N12" si="2">D11</f>
        <v>0.46145789262124232</v>
      </c>
      <c r="F11" s="1385">
        <f t="shared" si="2"/>
        <v>0.46145789262124232</v>
      </c>
      <c r="G11" s="1385">
        <f t="shared" si="2"/>
        <v>0.46145789262124232</v>
      </c>
      <c r="H11" s="1385">
        <f t="shared" si="2"/>
        <v>0.46145789262124232</v>
      </c>
      <c r="I11" s="1385">
        <f t="shared" si="2"/>
        <v>0.46145789262124232</v>
      </c>
      <c r="J11" s="1385">
        <f t="shared" si="2"/>
        <v>0.46145789262124232</v>
      </c>
      <c r="K11" s="1385">
        <f t="shared" si="2"/>
        <v>0.46145789262124232</v>
      </c>
      <c r="L11" s="1385">
        <f t="shared" si="2"/>
        <v>0.46145789262124232</v>
      </c>
      <c r="M11" s="1385">
        <f t="shared" si="2"/>
        <v>0.46145789262124232</v>
      </c>
      <c r="N11" s="1385">
        <f t="shared" si="2"/>
        <v>0.46145789262124232</v>
      </c>
      <c r="O11" s="245"/>
      <c r="W11" s="1383" t="s">
        <v>460</v>
      </c>
    </row>
    <row r="12" spans="2:24" x14ac:dyDescent="0.25">
      <c r="C12" s="1386" t="s">
        <v>1101</v>
      </c>
      <c r="D12" s="1387">
        <f>D10/D11</f>
        <v>1.1670449590094778</v>
      </c>
      <c r="E12" s="1387">
        <f t="shared" si="2"/>
        <v>1.1670449590094778</v>
      </c>
      <c r="F12" s="1387">
        <f t="shared" si="2"/>
        <v>1.1670449590094778</v>
      </c>
      <c r="G12" s="1387">
        <f t="shared" si="2"/>
        <v>1.1670449590094778</v>
      </c>
      <c r="H12" s="1387">
        <f t="shared" si="2"/>
        <v>1.1670449590094778</v>
      </c>
      <c r="I12" s="1387">
        <f t="shared" si="2"/>
        <v>1.1670449590094778</v>
      </c>
      <c r="J12" s="1387">
        <f t="shared" si="2"/>
        <v>1.1670449590094778</v>
      </c>
      <c r="K12" s="1387">
        <f t="shared" si="2"/>
        <v>1.1670449590094778</v>
      </c>
      <c r="L12" s="1387">
        <f t="shared" si="2"/>
        <v>1.1670449590094778</v>
      </c>
      <c r="M12" s="1387">
        <f t="shared" si="2"/>
        <v>1.1670449590094778</v>
      </c>
      <c r="N12" s="1387">
        <f t="shared" si="2"/>
        <v>1.1670449590094778</v>
      </c>
      <c r="O12" s="247"/>
      <c r="W12" s="1386" t="s">
        <v>461</v>
      </c>
    </row>
    <row r="13" spans="2:24" x14ac:dyDescent="0.25">
      <c r="C13" s="1386" t="s">
        <v>1103</v>
      </c>
      <c r="D13" s="1388">
        <f>+Beta!E25</f>
        <v>1.0542089551900533</v>
      </c>
      <c r="E13" s="1389">
        <f t="shared" ref="E13:N13" si="3">D13</f>
        <v>1.0542089551900533</v>
      </c>
      <c r="F13" s="1389">
        <f t="shared" si="3"/>
        <v>1.0542089551900533</v>
      </c>
      <c r="G13" s="1389">
        <f t="shared" si="3"/>
        <v>1.0542089551900533</v>
      </c>
      <c r="H13" s="1389">
        <f t="shared" si="3"/>
        <v>1.0542089551900533</v>
      </c>
      <c r="I13" s="1389">
        <f t="shared" si="3"/>
        <v>1.0542089551900533</v>
      </c>
      <c r="J13" s="1389">
        <f t="shared" si="3"/>
        <v>1.0542089551900533</v>
      </c>
      <c r="K13" s="1389">
        <f t="shared" si="3"/>
        <v>1.0542089551900533</v>
      </c>
      <c r="L13" s="1389">
        <f t="shared" si="3"/>
        <v>1.0542089551900533</v>
      </c>
      <c r="M13" s="1389">
        <f t="shared" si="3"/>
        <v>1.0542089551900533</v>
      </c>
      <c r="N13" s="1389">
        <f t="shared" si="3"/>
        <v>1.0542089551900533</v>
      </c>
      <c r="O13" s="249"/>
      <c r="W13" s="1386" t="s">
        <v>404</v>
      </c>
    </row>
    <row r="14" spans="2:24" x14ac:dyDescent="0.25">
      <c r="C14" s="1386" t="s">
        <v>1104</v>
      </c>
      <c r="D14" s="1390">
        <f t="shared" ref="D14:N14" si="4">D16+D17*D13</f>
        <v>0.14798149253545292</v>
      </c>
      <c r="E14" s="1391">
        <f t="shared" si="4"/>
        <v>0.14798149253545292</v>
      </c>
      <c r="F14" s="1391">
        <f t="shared" si="4"/>
        <v>0.14798149253545292</v>
      </c>
      <c r="G14" s="1391">
        <f t="shared" si="4"/>
        <v>0.14798149253545292</v>
      </c>
      <c r="H14" s="1391">
        <f t="shared" si="4"/>
        <v>0.14798149253545292</v>
      </c>
      <c r="I14" s="1391">
        <f t="shared" si="4"/>
        <v>0.14798149253545292</v>
      </c>
      <c r="J14" s="1391">
        <f t="shared" si="4"/>
        <v>0.14798149253545292</v>
      </c>
      <c r="K14" s="1391">
        <f t="shared" si="4"/>
        <v>0.14798149253545292</v>
      </c>
      <c r="L14" s="1391">
        <f t="shared" si="4"/>
        <v>0.14798149253545292</v>
      </c>
      <c r="M14" s="1391">
        <f t="shared" si="4"/>
        <v>0.14798149253545292</v>
      </c>
      <c r="N14" s="1391">
        <f t="shared" si="4"/>
        <v>0.14798149253545292</v>
      </c>
      <c r="O14" s="250"/>
      <c r="W14" s="1386" t="s">
        <v>462</v>
      </c>
    </row>
    <row r="15" spans="2:24" x14ac:dyDescent="0.25">
      <c r="C15" s="1386" t="s">
        <v>509</v>
      </c>
      <c r="D15" s="1392">
        <f>+CoD!F13+Vars!L19</f>
        <v>0.10099999999999999</v>
      </c>
      <c r="E15" s="1391">
        <f>D15</f>
        <v>0.10099999999999999</v>
      </c>
      <c r="F15" s="1391">
        <f t="shared" ref="F15:N15" si="5">E15</f>
        <v>0.10099999999999999</v>
      </c>
      <c r="G15" s="1391">
        <f t="shared" si="5"/>
        <v>0.10099999999999999</v>
      </c>
      <c r="H15" s="1391">
        <f t="shared" si="5"/>
        <v>0.10099999999999999</v>
      </c>
      <c r="I15" s="1391">
        <f t="shared" si="5"/>
        <v>0.10099999999999999</v>
      </c>
      <c r="J15" s="1391">
        <f t="shared" si="5"/>
        <v>0.10099999999999999</v>
      </c>
      <c r="K15" s="1391">
        <f t="shared" si="5"/>
        <v>0.10099999999999999</v>
      </c>
      <c r="L15" s="1391">
        <f t="shared" si="5"/>
        <v>0.10099999999999999</v>
      </c>
      <c r="M15" s="1391">
        <f t="shared" si="5"/>
        <v>0.10099999999999999</v>
      </c>
      <c r="N15" s="1391">
        <f t="shared" si="5"/>
        <v>0.10099999999999999</v>
      </c>
      <c r="O15" s="250"/>
      <c r="W15" s="1386" t="s">
        <v>468</v>
      </c>
    </row>
    <row r="16" spans="2:24" x14ac:dyDescent="0.25">
      <c r="C16" s="1393" t="s">
        <v>464</v>
      </c>
      <c r="D16" s="1394">
        <f>IF($D$2="USD",Vars!L17,Vars!L19)</f>
        <v>0.09</v>
      </c>
      <c r="E16" s="1395">
        <f>IF($D$2="USD",Vars!M17,Vars!M19)</f>
        <v>0.09</v>
      </c>
      <c r="F16" s="1395">
        <f>IF($D$2="USD",Vars!N17,Vars!N19)</f>
        <v>0.09</v>
      </c>
      <c r="G16" s="1395">
        <f>IF($D$2="USD",Vars!O17,Vars!O19)</f>
        <v>0.09</v>
      </c>
      <c r="H16" s="1395">
        <f>IF($D$2="USD",Vars!P17,Vars!P19)</f>
        <v>0.09</v>
      </c>
      <c r="I16" s="1395">
        <f>IF($D$2="USD",Vars!Q17,Vars!Q19)</f>
        <v>0.09</v>
      </c>
      <c r="J16" s="1395">
        <f>IF($D$2="USD",Vars!R17,Vars!R19)</f>
        <v>0.09</v>
      </c>
      <c r="K16" s="1395">
        <f>IF($D$2="USD",Vars!S17,Vars!S19)</f>
        <v>0.09</v>
      </c>
      <c r="L16" s="1395">
        <f>IF($D$2="USD",Vars!T17,Vars!T19)</f>
        <v>0.09</v>
      </c>
      <c r="M16" s="1395">
        <f>IF($D$2="USD",Vars!U17,Vars!U19)</f>
        <v>0.09</v>
      </c>
      <c r="N16" s="1395">
        <f>IF($D$2="USD",Vars!V17,Vars!V19)</f>
        <v>0.09</v>
      </c>
      <c r="W16" s="1393" t="s">
        <v>464</v>
      </c>
    </row>
    <row r="17" spans="2:24" x14ac:dyDescent="0.25">
      <c r="C17" s="1396" t="s">
        <v>465</v>
      </c>
      <c r="D17" s="1397">
        <f>IF($D$2="TL",Vars!L23,Vars!L24)</f>
        <v>5.5E-2</v>
      </c>
      <c r="E17" s="1397">
        <f>IF($D$2="TL",Vars!M23,Vars!M24)</f>
        <v>5.5E-2</v>
      </c>
      <c r="F17" s="1397">
        <f>IF($D$2="TL",Vars!N23,Vars!N24)</f>
        <v>5.5E-2</v>
      </c>
      <c r="G17" s="1397">
        <f>IF($D$2="TL",Vars!O23,Vars!O24)</f>
        <v>5.5E-2</v>
      </c>
      <c r="H17" s="1397">
        <f>IF($D$2="TL",Vars!P23,Vars!P24)</f>
        <v>5.5E-2</v>
      </c>
      <c r="I17" s="1397">
        <f>IF($D$2="TL",Vars!Q23,Vars!Q24)</f>
        <v>5.5E-2</v>
      </c>
      <c r="J17" s="1397">
        <f>IF($D$2="TL",Vars!R23,Vars!R24)</f>
        <v>5.5E-2</v>
      </c>
      <c r="K17" s="1397">
        <f>IF($D$2="TL",Vars!S23,Vars!S24)</f>
        <v>5.5E-2</v>
      </c>
      <c r="L17" s="1397">
        <f>IF($D$2="TL",Vars!T23,Vars!T24)</f>
        <v>5.5E-2</v>
      </c>
      <c r="M17" s="1397">
        <f>IF($D$2="TL",Vars!U23,Vars!U24)</f>
        <v>5.5E-2</v>
      </c>
      <c r="N17" s="1458">
        <f>IF($D$2="TL",Vars!V23,Vars!V24)</f>
        <v>5.5E-2</v>
      </c>
      <c r="W17" s="1396" t="s">
        <v>465</v>
      </c>
    </row>
    <row r="18" spans="2:24" ht="15.75" thickBot="1" x14ac:dyDescent="0.3">
      <c r="C18" s="1405" t="s">
        <v>1100</v>
      </c>
      <c r="D18" s="1406">
        <f>D14*D11+D15*D10*(1-Vars!L15)</f>
        <v>0.11180142996855982</v>
      </c>
      <c r="E18" s="1406">
        <f>E14*E11+E15*E10*(1-Vars!M15)</f>
        <v>0.11180142996855982</v>
      </c>
      <c r="F18" s="1406">
        <f>F14*F11+F15*F10*(1-Vars!N15)</f>
        <v>0.11180142996855982</v>
      </c>
      <c r="G18" s="1406">
        <f>G14*G11+G15*G10*(1-Vars!O15)</f>
        <v>0.11180142996855982</v>
      </c>
      <c r="H18" s="1406">
        <f>H14*H11+H15*H10*(1-Vars!P15)</f>
        <v>0.11180142996855982</v>
      </c>
      <c r="I18" s="1406">
        <f>I14*I11+I15*I10*(1-Vars!Q15)</f>
        <v>0.11180142996855982</v>
      </c>
      <c r="J18" s="1406">
        <f>J14*J11+J15*J10*(1-Vars!R15)</f>
        <v>0.11180142996855982</v>
      </c>
      <c r="K18" s="1406">
        <f>K14*K11+K15*K10*(1-Vars!S15)</f>
        <v>0.11180142996855982</v>
      </c>
      <c r="L18" s="1406">
        <f>L14*L11+L15*L10*(1-Vars!T15)</f>
        <v>0.11180142996855982</v>
      </c>
      <c r="M18" s="1406">
        <f>M14*M11+M15*M10*(1-Vars!U15)</f>
        <v>0.11180142996855982</v>
      </c>
      <c r="N18" s="1459">
        <f>N14*N11+N15*N10*(1-Vars!V15)</f>
        <v>0.11180142996855982</v>
      </c>
      <c r="W18" s="1398" t="s">
        <v>458</v>
      </c>
    </row>
    <row r="19" spans="2:24" s="240" customFormat="1" x14ac:dyDescent="0.25">
      <c r="C19" s="1405" t="s">
        <v>1105</v>
      </c>
      <c r="D19" s="1407">
        <f t="shared" ref="D19:N19" si="6">1/((1+D18)^(D3))</f>
        <v>0.94838873301379834</v>
      </c>
      <c r="E19" s="1407">
        <f t="shared" si="6"/>
        <v>0.85301988956842545</v>
      </c>
      <c r="F19" s="1407">
        <f t="shared" si="6"/>
        <v>0.76724122363518421</v>
      </c>
      <c r="G19" s="1407">
        <f t="shared" si="6"/>
        <v>0.69008835836528892</v>
      </c>
      <c r="H19" s="1407">
        <f t="shared" si="6"/>
        <v>0.6206938934993127</v>
      </c>
      <c r="I19" s="1407">
        <f t="shared" si="6"/>
        <v>0.55827765351665815</v>
      </c>
      <c r="J19" s="1407">
        <f t="shared" si="6"/>
        <v>0.50213791641952232</v>
      </c>
      <c r="K19" s="1407">
        <f t="shared" si="6"/>
        <v>0.45164352453991896</v>
      </c>
      <c r="L19" s="1407">
        <f t="shared" si="6"/>
        <v>0.40622678867456646</v>
      </c>
      <c r="M19" s="1407">
        <f t="shared" si="6"/>
        <v>0.36537710577153509</v>
      </c>
      <c r="N19" s="1460">
        <f t="shared" si="6"/>
        <v>0.36537710577153509</v>
      </c>
      <c r="W19" s="1408" t="s">
        <v>463</v>
      </c>
    </row>
    <row r="20" spans="2:24" ht="15" customHeight="1" x14ac:dyDescent="0.25">
      <c r="C20" s="99"/>
      <c r="D20" s="138"/>
      <c r="W20" s="1410" t="s">
        <v>457</v>
      </c>
    </row>
    <row r="21" spans="2:24" x14ac:dyDescent="0.25">
      <c r="C21" s="2124" t="s">
        <v>1097</v>
      </c>
      <c r="D21" s="1401" t="s">
        <v>1098</v>
      </c>
      <c r="E21" s="1401" t="s">
        <v>288</v>
      </c>
    </row>
    <row r="22" spans="2:24" x14ac:dyDescent="0.25">
      <c r="C22" s="2125"/>
      <c r="D22" s="251" t="str">
        <f>LEFT(Mali!J53,4)</f>
        <v>2015</v>
      </c>
      <c r="E22" s="252" t="str">
        <f>D22</f>
        <v>2015</v>
      </c>
      <c r="F22" s="138"/>
      <c r="G22" s="138"/>
      <c r="H22" s="138"/>
      <c r="I22" s="138"/>
      <c r="J22" s="138"/>
      <c r="K22" s="138"/>
      <c r="L22" s="138"/>
      <c r="M22" s="138"/>
    </row>
    <row r="23" spans="2:24" x14ac:dyDescent="0.25">
      <c r="C23" s="253" t="s">
        <v>455</v>
      </c>
      <c r="D23" s="254">
        <f>(Mali!J26+Mali!J34)</f>
        <v>5456.9120000000003</v>
      </c>
      <c r="E23" s="255">
        <f>D23/$D$25</f>
        <v>0.53854210737875774</v>
      </c>
      <c r="F23" s="138"/>
      <c r="G23" s="138"/>
      <c r="H23" s="138"/>
      <c r="I23" s="138"/>
      <c r="J23" s="138"/>
      <c r="K23" s="138"/>
      <c r="L23" s="138"/>
      <c r="M23" s="138"/>
    </row>
    <row r="24" spans="2:24" x14ac:dyDescent="0.25">
      <c r="C24" s="253" t="s">
        <v>456</v>
      </c>
      <c r="D24" s="254">
        <f>Mali!J42</f>
        <v>4675.8370000000004</v>
      </c>
      <c r="E24" s="255">
        <f>D24/$D$25</f>
        <v>0.46145789262124232</v>
      </c>
    </row>
    <row r="25" spans="2:24" x14ac:dyDescent="0.25">
      <c r="C25" s="1402" t="s">
        <v>1099</v>
      </c>
      <c r="D25" s="1403">
        <f>D24+D23</f>
        <v>10132.749</v>
      </c>
      <c r="E25" s="1404">
        <f>E24+E23</f>
        <v>1</v>
      </c>
    </row>
    <row r="26" spans="2:24" ht="15.75" thickBot="1" x14ac:dyDescent="0.3"/>
    <row r="27" spans="2:24" s="319" customFormat="1" ht="17.25" customHeight="1" thickBot="1" x14ac:dyDescent="0.35">
      <c r="B27" s="1280" t="s">
        <v>265</v>
      </c>
      <c r="C27" s="1281" t="s">
        <v>1308</v>
      </c>
      <c r="D27" s="1282"/>
      <c r="E27" s="1282"/>
      <c r="F27" s="1282"/>
      <c r="G27" s="1283"/>
      <c r="H27" s="1284"/>
      <c r="I27" s="1285"/>
      <c r="J27" s="1285"/>
      <c r="K27" s="1285"/>
      <c r="L27" s="1286"/>
      <c r="M27" s="1286"/>
      <c r="N27" s="1285"/>
      <c r="O27" s="1286"/>
      <c r="P27" s="1286"/>
      <c r="Q27" s="1286"/>
      <c r="R27" s="1286"/>
      <c r="S27" s="1286"/>
      <c r="T27" s="1287"/>
      <c r="W27" s="1286"/>
      <c r="X27" s="1632"/>
    </row>
    <row r="28" spans="2:24" s="319" customFormat="1" ht="9.75" customHeight="1" x14ac:dyDescent="0.3">
      <c r="N28" s="1717"/>
      <c r="X28" s="1632"/>
    </row>
    <row r="29" spans="2:24" ht="15.75" thickBot="1" x14ac:dyDescent="0.3">
      <c r="C29" s="1382" t="s">
        <v>1100</v>
      </c>
      <c r="D29" s="1409" t="str">
        <f>CONCATENATE($D$22+1,"T")</f>
        <v>2016T</v>
      </c>
      <c r="E29" s="1409" t="str">
        <f>CONCATENATE($D$22+2,"T")</f>
        <v>2017T</v>
      </c>
      <c r="F29" s="1409" t="str">
        <f>CONCATENATE($D$22+3,"T")</f>
        <v>2018T</v>
      </c>
      <c r="G29" s="1409" t="str">
        <f>CONCATENATE($D$22+4,"T")</f>
        <v>2019T</v>
      </c>
      <c r="H29" s="1409" t="str">
        <f>CONCATENATE($D$22+5,"T")</f>
        <v>2020T</v>
      </c>
      <c r="I29" s="1409" t="str">
        <f>CONCATENATE($D$22+6,"T")</f>
        <v>2021T</v>
      </c>
      <c r="J29" s="1409" t="str">
        <f>CONCATENATE($D$22+7,"T")</f>
        <v>2022T</v>
      </c>
      <c r="K29" s="1409" t="str">
        <f>CONCATENATE($D$22+8,"T")</f>
        <v>2023T</v>
      </c>
      <c r="L29" s="1409" t="str">
        <f>CONCATENATE($D$22+9,"T")</f>
        <v>2024T</v>
      </c>
      <c r="M29" s="1409" t="str">
        <f>CONCATENATE($D$22+10,"T")</f>
        <v>2025T</v>
      </c>
      <c r="N29" s="1718" t="s">
        <v>267</v>
      </c>
      <c r="O29" s="242"/>
      <c r="Q29" s="1721" t="s">
        <v>1311</v>
      </c>
      <c r="R29" s="1722" t="s">
        <v>288</v>
      </c>
      <c r="W29" s="1382" t="s">
        <v>458</v>
      </c>
    </row>
    <row r="30" spans="2:24" x14ac:dyDescent="0.25">
      <c r="C30" s="243" t="s">
        <v>455</v>
      </c>
      <c r="D30" s="1719">
        <v>0.5</v>
      </c>
      <c r="E30" s="232">
        <f>D30</f>
        <v>0.5</v>
      </c>
      <c r="F30" s="232">
        <f t="shared" ref="F30:F33" si="7">E30</f>
        <v>0.5</v>
      </c>
      <c r="G30" s="232">
        <f t="shared" ref="G30:G33" si="8">F30</f>
        <v>0.5</v>
      </c>
      <c r="H30" s="232">
        <f t="shared" ref="H30:H33" si="9">G30</f>
        <v>0.5</v>
      </c>
      <c r="I30" s="232">
        <f t="shared" ref="I30:I33" si="10">H30</f>
        <v>0.5</v>
      </c>
      <c r="J30" s="232">
        <f t="shared" ref="J30:J33" si="11">I30</f>
        <v>0.5</v>
      </c>
      <c r="K30" s="232">
        <f t="shared" ref="K30:K33" si="12">J30</f>
        <v>0.5</v>
      </c>
      <c r="L30" s="232">
        <f t="shared" ref="L30:L33" si="13">K30</f>
        <v>0.5</v>
      </c>
      <c r="M30" s="232">
        <f t="shared" ref="M30:M33" si="14">L30</f>
        <v>0.5</v>
      </c>
      <c r="N30" s="232">
        <f t="shared" ref="N30:N33" si="15">M30</f>
        <v>0.5</v>
      </c>
      <c r="O30" s="245"/>
      <c r="Q30" s="1723" t="s">
        <v>455</v>
      </c>
      <c r="R30" s="1725">
        <v>0.5</v>
      </c>
      <c r="S30" s="99" t="s">
        <v>1312</v>
      </c>
      <c r="W30" s="243" t="s">
        <v>459</v>
      </c>
    </row>
    <row r="31" spans="2:24" x14ac:dyDescent="0.25">
      <c r="C31" s="1383" t="s">
        <v>456</v>
      </c>
      <c r="D31" s="1384">
        <f>1-D30</f>
        <v>0.5</v>
      </c>
      <c r="E31" s="1385">
        <f t="shared" ref="E31:E33" si="16">D31</f>
        <v>0.5</v>
      </c>
      <c r="F31" s="1385">
        <f t="shared" si="7"/>
        <v>0.5</v>
      </c>
      <c r="G31" s="1385">
        <f t="shared" si="8"/>
        <v>0.5</v>
      </c>
      <c r="H31" s="1385">
        <f t="shared" si="9"/>
        <v>0.5</v>
      </c>
      <c r="I31" s="1385">
        <f t="shared" si="10"/>
        <v>0.5</v>
      </c>
      <c r="J31" s="1385">
        <f t="shared" si="11"/>
        <v>0.5</v>
      </c>
      <c r="K31" s="1385">
        <f t="shared" si="12"/>
        <v>0.5</v>
      </c>
      <c r="L31" s="1385">
        <f t="shared" si="13"/>
        <v>0.5</v>
      </c>
      <c r="M31" s="1385">
        <f t="shared" si="14"/>
        <v>0.5</v>
      </c>
      <c r="N31" s="1385">
        <f t="shared" si="15"/>
        <v>0.5</v>
      </c>
      <c r="O31" s="245"/>
      <c r="Q31" s="1724" t="s">
        <v>456</v>
      </c>
      <c r="R31" s="1726">
        <v>0.5</v>
      </c>
      <c r="W31" s="1383" t="s">
        <v>460</v>
      </c>
    </row>
    <row r="32" spans="2:24" x14ac:dyDescent="0.25">
      <c r="C32" s="1386" t="s">
        <v>1101</v>
      </c>
      <c r="D32" s="1387">
        <f>D30/D31</f>
        <v>1</v>
      </c>
      <c r="E32" s="1387">
        <f t="shared" si="16"/>
        <v>1</v>
      </c>
      <c r="F32" s="1387">
        <f t="shared" si="7"/>
        <v>1</v>
      </c>
      <c r="G32" s="1387">
        <f t="shared" si="8"/>
        <v>1</v>
      </c>
      <c r="H32" s="1387">
        <f t="shared" si="9"/>
        <v>1</v>
      </c>
      <c r="I32" s="1387">
        <f t="shared" si="10"/>
        <v>1</v>
      </c>
      <c r="J32" s="1387">
        <f t="shared" si="11"/>
        <v>1</v>
      </c>
      <c r="K32" s="1387">
        <f t="shared" si="12"/>
        <v>1</v>
      </c>
      <c r="L32" s="1387">
        <f t="shared" si="13"/>
        <v>1</v>
      </c>
      <c r="M32" s="1387">
        <f t="shared" si="14"/>
        <v>1</v>
      </c>
      <c r="N32" s="1387">
        <f t="shared" si="15"/>
        <v>1</v>
      </c>
      <c r="O32" s="247"/>
      <c r="W32" s="1386" t="s">
        <v>461</v>
      </c>
    </row>
    <row r="33" spans="2:24" x14ac:dyDescent="0.25">
      <c r="C33" s="1386" t="s">
        <v>1103</v>
      </c>
      <c r="D33" s="1388">
        <f>+D13</f>
        <v>1.0542089551900533</v>
      </c>
      <c r="E33" s="1389">
        <f t="shared" si="16"/>
        <v>1.0542089551900533</v>
      </c>
      <c r="F33" s="1389">
        <f t="shared" si="7"/>
        <v>1.0542089551900533</v>
      </c>
      <c r="G33" s="1389">
        <f t="shared" si="8"/>
        <v>1.0542089551900533</v>
      </c>
      <c r="H33" s="1389">
        <f t="shared" si="9"/>
        <v>1.0542089551900533</v>
      </c>
      <c r="I33" s="1389">
        <f t="shared" si="10"/>
        <v>1.0542089551900533</v>
      </c>
      <c r="J33" s="1389">
        <f t="shared" si="11"/>
        <v>1.0542089551900533</v>
      </c>
      <c r="K33" s="1389">
        <f t="shared" si="12"/>
        <v>1.0542089551900533</v>
      </c>
      <c r="L33" s="1389">
        <f t="shared" si="13"/>
        <v>1.0542089551900533</v>
      </c>
      <c r="M33" s="1389">
        <f t="shared" si="14"/>
        <v>1.0542089551900533</v>
      </c>
      <c r="N33" s="1389">
        <f t="shared" si="15"/>
        <v>1.0542089551900533</v>
      </c>
      <c r="O33" s="249"/>
      <c r="W33" s="1386" t="s">
        <v>404</v>
      </c>
    </row>
    <row r="34" spans="2:24" x14ac:dyDescent="0.25">
      <c r="C34" s="1386" t="s">
        <v>1104</v>
      </c>
      <c r="D34" s="1390">
        <f t="shared" ref="D34:N34" si="17">D36+D37*D33</f>
        <v>0.14798149253545292</v>
      </c>
      <c r="E34" s="1391">
        <f t="shared" si="17"/>
        <v>0.14798149253545292</v>
      </c>
      <c r="F34" s="1391">
        <f t="shared" si="17"/>
        <v>0.14798149253545292</v>
      </c>
      <c r="G34" s="1391">
        <f t="shared" si="17"/>
        <v>0.14798149253545292</v>
      </c>
      <c r="H34" s="1391">
        <f t="shared" si="17"/>
        <v>0.14798149253545292</v>
      </c>
      <c r="I34" s="1391">
        <f t="shared" si="17"/>
        <v>0.14798149253545292</v>
      </c>
      <c r="J34" s="1391">
        <f t="shared" si="17"/>
        <v>0.14798149253545292</v>
      </c>
      <c r="K34" s="1391">
        <f t="shared" si="17"/>
        <v>0.14798149253545292</v>
      </c>
      <c r="L34" s="1391">
        <f t="shared" si="17"/>
        <v>0.14798149253545292</v>
      </c>
      <c r="M34" s="1391">
        <f t="shared" si="17"/>
        <v>0.14798149253545292</v>
      </c>
      <c r="N34" s="1391">
        <f t="shared" si="17"/>
        <v>0.14798149253545292</v>
      </c>
      <c r="O34" s="250"/>
      <c r="W34" s="1386" t="s">
        <v>462</v>
      </c>
    </row>
    <row r="35" spans="2:24" x14ac:dyDescent="0.25">
      <c r="C35" s="1386" t="s">
        <v>509</v>
      </c>
      <c r="D35" s="1392">
        <f>+CoD!F13+Vars!L19</f>
        <v>0.10099999999999999</v>
      </c>
      <c r="E35" s="1391">
        <f>D35</f>
        <v>0.10099999999999999</v>
      </c>
      <c r="F35" s="1391">
        <f t="shared" ref="F35" si="18">E35</f>
        <v>0.10099999999999999</v>
      </c>
      <c r="G35" s="1391">
        <f t="shared" ref="G35" si="19">F35</f>
        <v>0.10099999999999999</v>
      </c>
      <c r="H35" s="1391">
        <f t="shared" ref="H35" si="20">G35</f>
        <v>0.10099999999999999</v>
      </c>
      <c r="I35" s="1391">
        <f t="shared" ref="I35" si="21">H35</f>
        <v>0.10099999999999999</v>
      </c>
      <c r="J35" s="1391">
        <f t="shared" ref="J35" si="22">I35</f>
        <v>0.10099999999999999</v>
      </c>
      <c r="K35" s="1391">
        <f t="shared" ref="K35" si="23">J35</f>
        <v>0.10099999999999999</v>
      </c>
      <c r="L35" s="1391">
        <f t="shared" ref="L35" si="24">K35</f>
        <v>0.10099999999999999</v>
      </c>
      <c r="M35" s="1391">
        <f t="shared" ref="M35" si="25">L35</f>
        <v>0.10099999999999999</v>
      </c>
      <c r="N35" s="1391">
        <f t="shared" ref="N35" si="26">M35</f>
        <v>0.10099999999999999</v>
      </c>
      <c r="O35" s="250"/>
      <c r="W35" s="1386" t="s">
        <v>468</v>
      </c>
    </row>
    <row r="36" spans="2:24" x14ac:dyDescent="0.25">
      <c r="C36" s="1393" t="s">
        <v>464</v>
      </c>
      <c r="D36" s="1394">
        <f t="shared" ref="D36:N36" si="27">+D16</f>
        <v>0.09</v>
      </c>
      <c r="E36" s="1394">
        <f t="shared" si="27"/>
        <v>0.09</v>
      </c>
      <c r="F36" s="1394">
        <f t="shared" si="27"/>
        <v>0.09</v>
      </c>
      <c r="G36" s="1394">
        <f t="shared" si="27"/>
        <v>0.09</v>
      </c>
      <c r="H36" s="1394">
        <f t="shared" si="27"/>
        <v>0.09</v>
      </c>
      <c r="I36" s="1394">
        <f t="shared" si="27"/>
        <v>0.09</v>
      </c>
      <c r="J36" s="1394">
        <f t="shared" si="27"/>
        <v>0.09</v>
      </c>
      <c r="K36" s="1394">
        <f t="shared" si="27"/>
        <v>0.09</v>
      </c>
      <c r="L36" s="1394">
        <f t="shared" si="27"/>
        <v>0.09</v>
      </c>
      <c r="M36" s="1394">
        <f t="shared" si="27"/>
        <v>0.09</v>
      </c>
      <c r="N36" s="1394">
        <f t="shared" si="27"/>
        <v>0.09</v>
      </c>
      <c r="W36" s="1393" t="s">
        <v>464</v>
      </c>
    </row>
    <row r="37" spans="2:24" x14ac:dyDescent="0.25">
      <c r="C37" s="1396" t="s">
        <v>465</v>
      </c>
      <c r="D37" s="1397">
        <f t="shared" ref="D37:N37" si="28">+D17</f>
        <v>5.5E-2</v>
      </c>
      <c r="E37" s="1397">
        <f t="shared" si="28"/>
        <v>5.5E-2</v>
      </c>
      <c r="F37" s="1397">
        <f t="shared" si="28"/>
        <v>5.5E-2</v>
      </c>
      <c r="G37" s="1397">
        <f t="shared" si="28"/>
        <v>5.5E-2</v>
      </c>
      <c r="H37" s="1397">
        <f t="shared" si="28"/>
        <v>5.5E-2</v>
      </c>
      <c r="I37" s="1397">
        <f t="shared" si="28"/>
        <v>5.5E-2</v>
      </c>
      <c r="J37" s="1397">
        <f t="shared" si="28"/>
        <v>5.5E-2</v>
      </c>
      <c r="K37" s="1397">
        <f t="shared" si="28"/>
        <v>5.5E-2</v>
      </c>
      <c r="L37" s="1397">
        <f t="shared" si="28"/>
        <v>5.5E-2</v>
      </c>
      <c r="M37" s="1397">
        <f t="shared" si="28"/>
        <v>5.5E-2</v>
      </c>
      <c r="N37" s="1397">
        <f t="shared" si="28"/>
        <v>5.5E-2</v>
      </c>
      <c r="W37" s="1396" t="s">
        <v>465</v>
      </c>
    </row>
    <row r="38" spans="2:24" ht="15.75" thickBot="1" x14ac:dyDescent="0.3">
      <c r="C38" s="1405" t="s">
        <v>1100</v>
      </c>
      <c r="D38" s="1406">
        <f>D34*D31+D35*D30*(1-Vars!L15)</f>
        <v>0.11439074626772647</v>
      </c>
      <c r="E38" s="1406">
        <f>E34*E31+E35*E30*(1-Vars!M15)</f>
        <v>0.11439074626772647</v>
      </c>
      <c r="F38" s="1406">
        <f>F34*F31+F35*F30*(1-Vars!N15)</f>
        <v>0.11439074626772647</v>
      </c>
      <c r="G38" s="1406">
        <f>G34*G31+G35*G30*(1-Vars!O15)</f>
        <v>0.11439074626772647</v>
      </c>
      <c r="H38" s="1406">
        <f>H34*H31+H35*H30*(1-Vars!P15)</f>
        <v>0.11439074626772647</v>
      </c>
      <c r="I38" s="1406">
        <f>I34*I31+I35*I30*(1-Vars!Q15)</f>
        <v>0.11439074626772647</v>
      </c>
      <c r="J38" s="1406">
        <f>J34*J31+J35*J30*(1-Vars!R15)</f>
        <v>0.11439074626772647</v>
      </c>
      <c r="K38" s="1406">
        <f>K34*K31+K35*K30*(1-Vars!S15)</f>
        <v>0.11439074626772647</v>
      </c>
      <c r="L38" s="1406">
        <f>L34*L31+L35*L30*(1-Vars!T15)</f>
        <v>0.11439074626772647</v>
      </c>
      <c r="M38" s="1406">
        <f>M34*M31+M35*M30*(1-Vars!U15)</f>
        <v>0.11439074626772647</v>
      </c>
      <c r="N38" s="1406">
        <f>N34*N31+N35*N30*(1-Vars!V15)</f>
        <v>0.11439074626772647</v>
      </c>
      <c r="W38" s="1398" t="s">
        <v>458</v>
      </c>
    </row>
    <row r="39" spans="2:24" s="240" customFormat="1" x14ac:dyDescent="0.25">
      <c r="C39" s="1405" t="s">
        <v>1105</v>
      </c>
      <c r="D39" s="1407">
        <f t="shared" ref="D39:N39" si="29">1/((1+D38)^(D3))</f>
        <v>0.94728628913108714</v>
      </c>
      <c r="E39" s="1407">
        <f t="shared" si="29"/>
        <v>0.85004859588407489</v>
      </c>
      <c r="F39" s="1407">
        <f t="shared" si="29"/>
        <v>0.76279222411979286</v>
      </c>
      <c r="G39" s="1407">
        <f t="shared" si="29"/>
        <v>0.68449260429926084</v>
      </c>
      <c r="H39" s="1407">
        <f t="shared" si="29"/>
        <v>0.61423033760082479</v>
      </c>
      <c r="I39" s="1407">
        <f t="shared" si="29"/>
        <v>0.55118040028417403</v>
      </c>
      <c r="J39" s="1407">
        <f t="shared" si="29"/>
        <v>0.49460245621220889</v>
      </c>
      <c r="K39" s="1407">
        <f t="shared" si="29"/>
        <v>0.44383216377981599</v>
      </c>
      <c r="L39" s="1407">
        <f t="shared" si="29"/>
        <v>0.39827337517498335</v>
      </c>
      <c r="M39" s="1407">
        <f t="shared" si="29"/>
        <v>0.35739113637551717</v>
      </c>
      <c r="N39" s="1407">
        <f t="shared" si="29"/>
        <v>0.35739113637551717</v>
      </c>
      <c r="W39" s="1408" t="s">
        <v>463</v>
      </c>
    </row>
    <row r="40" spans="2:24" ht="15" customHeight="1" x14ac:dyDescent="0.25">
      <c r="C40" s="99"/>
      <c r="D40" s="138"/>
      <c r="W40" s="1611" t="s">
        <v>457</v>
      </c>
    </row>
    <row r="41" spans="2:24" x14ac:dyDescent="0.25">
      <c r="C41" s="2124" t="s">
        <v>1097</v>
      </c>
      <c r="D41" s="1401" t="s">
        <v>1098</v>
      </c>
      <c r="E41" s="1401" t="s">
        <v>288</v>
      </c>
    </row>
    <row r="42" spans="2:24" x14ac:dyDescent="0.25">
      <c r="C42" s="2125"/>
      <c r="D42" s="251" t="str">
        <f>+D22</f>
        <v>2015</v>
      </c>
      <c r="E42" s="252" t="str">
        <f>D42</f>
        <v>2015</v>
      </c>
      <c r="F42" s="138"/>
      <c r="G42" s="138"/>
      <c r="H42" s="138"/>
      <c r="I42" s="138"/>
      <c r="J42" s="138"/>
      <c r="K42" s="138"/>
      <c r="L42" s="138"/>
      <c r="M42" s="138"/>
    </row>
    <row r="43" spans="2:24" x14ac:dyDescent="0.25">
      <c r="C43" s="253" t="s">
        <v>455</v>
      </c>
      <c r="D43" s="254">
        <f>(Mali!J47+Mali!J55)</f>
        <v>3584.877</v>
      </c>
      <c r="E43" s="255">
        <f>+D43/D45</f>
        <v>0.76739066448464799</v>
      </c>
      <c r="F43" s="138"/>
      <c r="G43" s="138"/>
      <c r="H43" s="138"/>
      <c r="I43" s="138"/>
      <c r="J43" s="138"/>
      <c r="K43" s="138"/>
      <c r="L43" s="138"/>
      <c r="M43" s="138"/>
    </row>
    <row r="44" spans="2:24" x14ac:dyDescent="0.25">
      <c r="C44" s="253" t="s">
        <v>456</v>
      </c>
      <c r="D44" s="254">
        <f>Mali!J63</f>
        <v>1086.6379999999999</v>
      </c>
      <c r="E44" s="255">
        <f>+D44/D45</f>
        <v>0.23260933551535209</v>
      </c>
    </row>
    <row r="45" spans="2:24" x14ac:dyDescent="0.25">
      <c r="C45" s="1402" t="s">
        <v>1099</v>
      </c>
      <c r="D45" s="1403">
        <f>D44+D43</f>
        <v>4671.5149999999994</v>
      </c>
      <c r="E45" s="1404">
        <f>E44+E43</f>
        <v>1</v>
      </c>
    </row>
    <row r="46" spans="2:24" ht="15.75" thickBot="1" x14ac:dyDescent="0.3"/>
    <row r="47" spans="2:24" s="319" customFormat="1" ht="17.25" customHeight="1" thickBot="1" x14ac:dyDescent="0.35">
      <c r="B47" s="1280" t="s">
        <v>282</v>
      </c>
      <c r="C47" s="1281" t="s">
        <v>1310</v>
      </c>
      <c r="D47" s="1282"/>
      <c r="E47" s="1282"/>
      <c r="F47" s="1282"/>
      <c r="G47" s="1283"/>
      <c r="H47" s="1284"/>
      <c r="I47" s="1285"/>
      <c r="J47" s="1285"/>
      <c r="K47" s="1285"/>
      <c r="L47" s="1286"/>
      <c r="M47" s="1286"/>
      <c r="N47" s="1285"/>
      <c r="O47" s="1286"/>
      <c r="P47" s="1286"/>
      <c r="Q47" s="1286"/>
      <c r="R47" s="1286"/>
      <c r="S47" s="1286"/>
      <c r="T47" s="1287"/>
      <c r="W47" s="1286"/>
      <c r="X47" s="1632"/>
    </row>
    <row r="48" spans="2:24" s="319" customFormat="1" ht="9.75" customHeight="1" x14ac:dyDescent="0.3">
      <c r="N48" s="1717"/>
      <c r="X48" s="1632"/>
    </row>
    <row r="49" spans="3:23" ht="15.75" thickBot="1" x14ac:dyDescent="0.3">
      <c r="C49" s="1382" t="s">
        <v>1100</v>
      </c>
      <c r="D49" s="1409" t="str">
        <f>CONCATENATE($D$22+1,"T")</f>
        <v>2016T</v>
      </c>
      <c r="E49" s="1409" t="str">
        <f>CONCATENATE($D$22+2,"T")</f>
        <v>2017T</v>
      </c>
      <c r="F49" s="1409" t="str">
        <f>CONCATENATE($D$22+3,"T")</f>
        <v>2018T</v>
      </c>
      <c r="G49" s="1409" t="str">
        <f>CONCATENATE($D$22+4,"T")</f>
        <v>2019T</v>
      </c>
      <c r="H49" s="1409" t="str">
        <f>CONCATENATE($D$22+5,"T")</f>
        <v>2020T</v>
      </c>
      <c r="I49" s="1409" t="str">
        <f>CONCATENATE($D$22+6,"T")</f>
        <v>2021T</v>
      </c>
      <c r="J49" s="1409" t="str">
        <f>CONCATENATE($D$22+7,"T")</f>
        <v>2022T</v>
      </c>
      <c r="K49" s="1409" t="str">
        <f>CONCATENATE($D$22+8,"T")</f>
        <v>2023T</v>
      </c>
      <c r="L49" s="1409" t="str">
        <f>CONCATENATE($D$22+9,"T")</f>
        <v>2024T</v>
      </c>
      <c r="M49" s="1409" t="str">
        <f>CONCATENATE($D$22+10,"T")</f>
        <v>2025T</v>
      </c>
      <c r="N49" s="1718" t="s">
        <v>267</v>
      </c>
      <c r="O49" s="242"/>
      <c r="W49" s="1382" t="s">
        <v>458</v>
      </c>
    </row>
    <row r="50" spans="3:23" x14ac:dyDescent="0.25">
      <c r="C50" s="243" t="s">
        <v>455</v>
      </c>
      <c r="D50" s="232">
        <f ca="1">+D68</f>
        <v>0.55887500481968544</v>
      </c>
      <c r="E50" s="232">
        <f t="shared" ref="E50:M50" ca="1" si="30">+E68</f>
        <v>0.56777347356456642</v>
      </c>
      <c r="F50" s="232">
        <f t="shared" ca="1" si="30"/>
        <v>0.57424183117836347</v>
      </c>
      <c r="G50" s="232">
        <f t="shared" ca="1" si="30"/>
        <v>0.58061484637290239</v>
      </c>
      <c r="H50" s="232">
        <f t="shared" ca="1" si="30"/>
        <v>0.58689915353263988</v>
      </c>
      <c r="I50" s="232">
        <f t="shared" ca="1" si="30"/>
        <v>0.59062335126059895</v>
      </c>
      <c r="J50" s="232">
        <f t="shared" ca="1" si="30"/>
        <v>0.58963482984776572</v>
      </c>
      <c r="K50" s="232">
        <f t="shared" ca="1" si="30"/>
        <v>0.58583701028074664</v>
      </c>
      <c r="L50" s="232">
        <f t="shared" ca="1" si="30"/>
        <v>0.57920487408088484</v>
      </c>
      <c r="M50" s="232">
        <f t="shared" ca="1" si="30"/>
        <v>0.57113895422093042</v>
      </c>
      <c r="N50" s="232">
        <f t="shared" ref="N50:N53" ca="1" si="31">M50</f>
        <v>0.57113895422093042</v>
      </c>
      <c r="O50" s="245"/>
      <c r="W50" s="243" t="s">
        <v>459</v>
      </c>
    </row>
    <row r="51" spans="3:23" x14ac:dyDescent="0.25">
      <c r="C51" s="1383" t="s">
        <v>456</v>
      </c>
      <c r="D51" s="1385">
        <f ca="1">+D69</f>
        <v>0.44112499518031456</v>
      </c>
      <c r="E51" s="1385">
        <f t="shared" ref="E51:M51" ca="1" si="32">+E69</f>
        <v>0.43222652643543358</v>
      </c>
      <c r="F51" s="1385">
        <f t="shared" ca="1" si="32"/>
        <v>0.42575816882163653</v>
      </c>
      <c r="G51" s="1385">
        <f t="shared" ca="1" si="32"/>
        <v>0.41938515362709761</v>
      </c>
      <c r="H51" s="1385">
        <f t="shared" ca="1" si="32"/>
        <v>0.41310084646736012</v>
      </c>
      <c r="I51" s="1385">
        <f t="shared" ca="1" si="32"/>
        <v>0.40937664873940105</v>
      </c>
      <c r="J51" s="1385">
        <f t="shared" ca="1" si="32"/>
        <v>0.41036517015223428</v>
      </c>
      <c r="K51" s="1385">
        <f t="shared" ca="1" si="32"/>
        <v>0.41416298971925336</v>
      </c>
      <c r="L51" s="1385">
        <f t="shared" ca="1" si="32"/>
        <v>0.42079512591911516</v>
      </c>
      <c r="M51" s="1385">
        <f t="shared" ca="1" si="32"/>
        <v>0.42886104577906958</v>
      </c>
      <c r="N51" s="1385">
        <f t="shared" ca="1" si="31"/>
        <v>0.42886104577906958</v>
      </c>
      <c r="O51" s="245"/>
      <c r="W51" s="1383" t="s">
        <v>460</v>
      </c>
    </row>
    <row r="52" spans="3:23" x14ac:dyDescent="0.25">
      <c r="C52" s="1386" t="s">
        <v>1101</v>
      </c>
      <c r="D52" s="1387">
        <f ca="1">D50/D51</f>
        <v>1.2669311667348147</v>
      </c>
      <c r="E52" s="1387">
        <f t="shared" ref="E52:E53" ca="1" si="33">D52</f>
        <v>1.2669311667348147</v>
      </c>
      <c r="F52" s="1387">
        <f t="shared" ref="F52:F53" ca="1" si="34">E52</f>
        <v>1.2669311667348147</v>
      </c>
      <c r="G52" s="1387">
        <f t="shared" ref="G52:G53" ca="1" si="35">F52</f>
        <v>1.2669311667348147</v>
      </c>
      <c r="H52" s="1387">
        <f t="shared" ref="H52:H53" ca="1" si="36">G52</f>
        <v>1.2669311667348147</v>
      </c>
      <c r="I52" s="1387">
        <f t="shared" ref="I52:I53" ca="1" si="37">H52</f>
        <v>1.2669311667348147</v>
      </c>
      <c r="J52" s="1387">
        <f t="shared" ref="J52:J53" ca="1" si="38">I52</f>
        <v>1.2669311667348147</v>
      </c>
      <c r="K52" s="1387">
        <f t="shared" ref="K52:K53" ca="1" si="39">J52</f>
        <v>1.2669311667348147</v>
      </c>
      <c r="L52" s="1387">
        <f t="shared" ref="L52:L53" ca="1" si="40">K52</f>
        <v>1.2669311667348147</v>
      </c>
      <c r="M52" s="1387">
        <f t="shared" ref="M52:M53" ca="1" si="41">L52</f>
        <v>1.2669311667348147</v>
      </c>
      <c r="N52" s="1387">
        <f t="shared" ca="1" si="31"/>
        <v>1.2669311667348147</v>
      </c>
      <c r="O52" s="247"/>
      <c r="W52" s="1386" t="s">
        <v>461</v>
      </c>
    </row>
    <row r="53" spans="3:23" x14ac:dyDescent="0.25">
      <c r="C53" s="1386" t="s">
        <v>1103</v>
      </c>
      <c r="D53" s="1388">
        <f>+D33</f>
        <v>1.0542089551900533</v>
      </c>
      <c r="E53" s="1389">
        <f t="shared" si="33"/>
        <v>1.0542089551900533</v>
      </c>
      <c r="F53" s="1389">
        <f t="shared" si="34"/>
        <v>1.0542089551900533</v>
      </c>
      <c r="G53" s="1389">
        <f t="shared" si="35"/>
        <v>1.0542089551900533</v>
      </c>
      <c r="H53" s="1389">
        <f t="shared" si="36"/>
        <v>1.0542089551900533</v>
      </c>
      <c r="I53" s="1389">
        <f t="shared" si="37"/>
        <v>1.0542089551900533</v>
      </c>
      <c r="J53" s="1389">
        <f t="shared" si="38"/>
        <v>1.0542089551900533</v>
      </c>
      <c r="K53" s="1389">
        <f t="shared" si="39"/>
        <v>1.0542089551900533</v>
      </c>
      <c r="L53" s="1389">
        <f t="shared" si="40"/>
        <v>1.0542089551900533</v>
      </c>
      <c r="M53" s="1389">
        <f t="shared" si="41"/>
        <v>1.0542089551900533</v>
      </c>
      <c r="N53" s="1389">
        <f t="shared" si="31"/>
        <v>1.0542089551900533</v>
      </c>
      <c r="O53" s="249"/>
      <c r="W53" s="1386" t="s">
        <v>404</v>
      </c>
    </row>
    <row r="54" spans="3:23" x14ac:dyDescent="0.25">
      <c r="C54" s="1386" t="s">
        <v>1104</v>
      </c>
      <c r="D54" s="1390">
        <f t="shared" ref="D54:N54" si="42">D56+D57*D53</f>
        <v>0.14798149253545292</v>
      </c>
      <c r="E54" s="1391">
        <f t="shared" si="42"/>
        <v>0.14798149253545292</v>
      </c>
      <c r="F54" s="1391">
        <f t="shared" si="42"/>
        <v>0.14798149253545292</v>
      </c>
      <c r="G54" s="1391">
        <f t="shared" si="42"/>
        <v>0.14798149253545292</v>
      </c>
      <c r="H54" s="1391">
        <f t="shared" si="42"/>
        <v>0.14798149253545292</v>
      </c>
      <c r="I54" s="1391">
        <f t="shared" si="42"/>
        <v>0.14798149253545292</v>
      </c>
      <c r="J54" s="1391">
        <f t="shared" si="42"/>
        <v>0.14798149253545292</v>
      </c>
      <c r="K54" s="1391">
        <f t="shared" si="42"/>
        <v>0.14798149253545292</v>
      </c>
      <c r="L54" s="1391">
        <f t="shared" si="42"/>
        <v>0.14798149253545292</v>
      </c>
      <c r="M54" s="1391">
        <f t="shared" si="42"/>
        <v>0.14798149253545292</v>
      </c>
      <c r="N54" s="1391">
        <f t="shared" si="42"/>
        <v>0.14798149253545292</v>
      </c>
      <c r="O54" s="250"/>
      <c r="W54" s="1386" t="s">
        <v>462</v>
      </c>
    </row>
    <row r="55" spans="3:23" x14ac:dyDescent="0.25">
      <c r="C55" s="1386" t="s">
        <v>509</v>
      </c>
      <c r="D55" s="1392">
        <f>+CoD!F13+Vars!L19</f>
        <v>0.10099999999999999</v>
      </c>
      <c r="E55" s="1391">
        <f>D55</f>
        <v>0.10099999999999999</v>
      </c>
      <c r="F55" s="1391">
        <f t="shared" ref="F55" si="43">E55</f>
        <v>0.10099999999999999</v>
      </c>
      <c r="G55" s="1391">
        <f t="shared" ref="G55" si="44">F55</f>
        <v>0.10099999999999999</v>
      </c>
      <c r="H55" s="1391">
        <f t="shared" ref="H55" si="45">G55</f>
        <v>0.10099999999999999</v>
      </c>
      <c r="I55" s="1391">
        <f t="shared" ref="I55" si="46">H55</f>
        <v>0.10099999999999999</v>
      </c>
      <c r="J55" s="1391">
        <f t="shared" ref="J55" si="47">I55</f>
        <v>0.10099999999999999</v>
      </c>
      <c r="K55" s="1391">
        <f t="shared" ref="K55" si="48">J55</f>
        <v>0.10099999999999999</v>
      </c>
      <c r="L55" s="1391">
        <f t="shared" ref="L55" si="49">K55</f>
        <v>0.10099999999999999</v>
      </c>
      <c r="M55" s="1391">
        <f t="shared" ref="M55" si="50">L55</f>
        <v>0.10099999999999999</v>
      </c>
      <c r="N55" s="1391">
        <f t="shared" ref="N55" si="51">M55</f>
        <v>0.10099999999999999</v>
      </c>
      <c r="O55" s="250"/>
      <c r="W55" s="1386" t="s">
        <v>468</v>
      </c>
    </row>
    <row r="56" spans="3:23" x14ac:dyDescent="0.25">
      <c r="C56" s="1393" t="s">
        <v>464</v>
      </c>
      <c r="D56" s="1394">
        <f t="shared" ref="D56:N56" si="52">+D36</f>
        <v>0.09</v>
      </c>
      <c r="E56" s="1394">
        <f t="shared" si="52"/>
        <v>0.09</v>
      </c>
      <c r="F56" s="1394">
        <f t="shared" si="52"/>
        <v>0.09</v>
      </c>
      <c r="G56" s="1394">
        <f t="shared" si="52"/>
        <v>0.09</v>
      </c>
      <c r="H56" s="1394">
        <f t="shared" si="52"/>
        <v>0.09</v>
      </c>
      <c r="I56" s="1394">
        <f t="shared" si="52"/>
        <v>0.09</v>
      </c>
      <c r="J56" s="1394">
        <f t="shared" si="52"/>
        <v>0.09</v>
      </c>
      <c r="K56" s="1394">
        <f t="shared" si="52"/>
        <v>0.09</v>
      </c>
      <c r="L56" s="1394">
        <f t="shared" si="52"/>
        <v>0.09</v>
      </c>
      <c r="M56" s="1394">
        <f t="shared" si="52"/>
        <v>0.09</v>
      </c>
      <c r="N56" s="1394">
        <f t="shared" si="52"/>
        <v>0.09</v>
      </c>
      <c r="W56" s="1393" t="s">
        <v>464</v>
      </c>
    </row>
    <row r="57" spans="3:23" x14ac:dyDescent="0.25">
      <c r="C57" s="1396" t="s">
        <v>465</v>
      </c>
      <c r="D57" s="1397">
        <f t="shared" ref="D57:N57" si="53">+D37</f>
        <v>5.5E-2</v>
      </c>
      <c r="E57" s="1397">
        <f t="shared" si="53"/>
        <v>5.5E-2</v>
      </c>
      <c r="F57" s="1397">
        <f t="shared" si="53"/>
        <v>5.5E-2</v>
      </c>
      <c r="G57" s="1397">
        <f t="shared" si="53"/>
        <v>5.5E-2</v>
      </c>
      <c r="H57" s="1397">
        <f t="shared" si="53"/>
        <v>5.5E-2</v>
      </c>
      <c r="I57" s="1397">
        <f t="shared" si="53"/>
        <v>5.5E-2</v>
      </c>
      <c r="J57" s="1397">
        <f t="shared" si="53"/>
        <v>5.5E-2</v>
      </c>
      <c r="K57" s="1397">
        <f t="shared" si="53"/>
        <v>5.5E-2</v>
      </c>
      <c r="L57" s="1397">
        <f t="shared" si="53"/>
        <v>5.5E-2</v>
      </c>
      <c r="M57" s="1397">
        <f t="shared" si="53"/>
        <v>5.5E-2</v>
      </c>
      <c r="N57" s="1397">
        <f t="shared" si="53"/>
        <v>5.5E-2</v>
      </c>
      <c r="W57" s="1396" t="s">
        <v>465</v>
      </c>
    </row>
    <row r="58" spans="3:23" ht="15.75" thickBot="1" x14ac:dyDescent="0.3">
      <c r="C58" s="1405" t="s">
        <v>1100</v>
      </c>
      <c r="D58" s="1406">
        <f ca="1">D54*D51+D55*D50*(1-Vars!L36)</f>
        <v>0.12172471066826565</v>
      </c>
      <c r="E58" s="1406">
        <f ca="1">E54*E51+E55*E50*(1-Vars!M36)</f>
        <v>0.12130664732535107</v>
      </c>
      <c r="F58" s="1406">
        <f ca="1">F54*F51+F55*F50*(1-Vars!N36)</f>
        <v>0.12100275423040181</v>
      </c>
      <c r="G58" s="1406">
        <f ca="1">G54*G51+G55*G50*(1-Vars!O36)</f>
        <v>0.12070334046461126</v>
      </c>
      <c r="H58" s="1406">
        <f ca="1">H54*H51+H55*H50*(1-Vars!P36)</f>
        <v>0.12040809433469556</v>
      </c>
      <c r="I58" s="1406">
        <f ca="1">I54*I51+I55*I50*(1-Vars!Q36)</f>
        <v>0.1202331259669389</v>
      </c>
      <c r="J58" s="1406">
        <f ca="1">J54*J51+J55*J50*(1-Vars!R36)</f>
        <v>0.12027956817831706</v>
      </c>
      <c r="K58" s="1406">
        <f ca="1">K54*K51+K55*K50*(1-Vars!S36)</f>
        <v>0.12045799540995597</v>
      </c>
      <c r="L58" s="1406">
        <f ca="1">L54*L51+L55*L50*(1-Vars!T36)</f>
        <v>0.12076958306732388</v>
      </c>
      <c r="M58" s="1406">
        <f ca="1">M54*M51+M55*M50*(1-Vars!U36)</f>
        <v>0.12114853202101589</v>
      </c>
      <c r="N58" s="1406">
        <f ca="1">N54*N51+N55*N50*(1-Vars!V36)</f>
        <v>0.12114853202101589</v>
      </c>
      <c r="W58" s="1398" t="s">
        <v>458</v>
      </c>
    </row>
    <row r="59" spans="3:23" s="240" customFormat="1" x14ac:dyDescent="0.25">
      <c r="C59" s="1405" t="s">
        <v>1105</v>
      </c>
      <c r="D59" s="1407">
        <f t="shared" ref="D59:N59" ca="1" si="54">1/((1+D58)^(D3))</f>
        <v>0.94418447778868331</v>
      </c>
      <c r="E59" s="1407">
        <f t="shared" ca="1" si="54"/>
        <v>0.84219644694020979</v>
      </c>
      <c r="F59" s="1407">
        <f t="shared" ca="1" si="54"/>
        <v>0.75159399389357562</v>
      </c>
      <c r="G59" s="1407">
        <f t="shared" ca="1" si="54"/>
        <v>0.6710929361301099</v>
      </c>
      <c r="H59" s="1407">
        <f t="shared" ca="1" si="54"/>
        <v>0.59952449280014519</v>
      </c>
      <c r="I59" s="1407">
        <f t="shared" ca="1" si="54"/>
        <v>0.5355545830936046</v>
      </c>
      <c r="J59" s="1407">
        <f t="shared" ca="1" si="54"/>
        <v>0.47794541578850047</v>
      </c>
      <c r="K59" s="1407">
        <f t="shared" ca="1" si="54"/>
        <v>0.42612120838812145</v>
      </c>
      <c r="L59" s="1407">
        <f t="shared" ca="1" si="54"/>
        <v>0.37941207129185794</v>
      </c>
      <c r="M59" s="1407">
        <f t="shared" ca="1" si="54"/>
        <v>0.3374427099375063</v>
      </c>
      <c r="N59" s="1407">
        <f t="shared" ca="1" si="54"/>
        <v>0.3374427099375063</v>
      </c>
      <c r="W59" s="1408" t="s">
        <v>463</v>
      </c>
    </row>
    <row r="60" spans="3:23" ht="15" customHeight="1" x14ac:dyDescent="0.25">
      <c r="C60" s="99"/>
      <c r="D60" s="138"/>
      <c r="W60" s="1611" t="s">
        <v>457</v>
      </c>
    </row>
    <row r="61" spans="3:23" x14ac:dyDescent="0.25">
      <c r="C61" s="2124" t="s">
        <v>1097</v>
      </c>
      <c r="D61" s="1401" t="s">
        <v>1098</v>
      </c>
    </row>
    <row r="62" spans="3:23" x14ac:dyDescent="0.25">
      <c r="C62" s="2125"/>
      <c r="D62" s="251">
        <f>+PBL!F4</f>
        <v>2016</v>
      </c>
      <c r="E62" s="251">
        <f>+PBL!G4</f>
        <v>2017</v>
      </c>
      <c r="F62" s="251">
        <f>+PBL!H4</f>
        <v>2018</v>
      </c>
      <c r="G62" s="251">
        <f>+PBL!I4</f>
        <v>2019</v>
      </c>
      <c r="H62" s="251">
        <f>+PBL!J4</f>
        <v>2020</v>
      </c>
      <c r="I62" s="251">
        <f>+PBL!K4</f>
        <v>2021</v>
      </c>
      <c r="J62" s="251">
        <f>+PBL!L4</f>
        <v>2022</v>
      </c>
      <c r="K62" s="251">
        <f>+PBL!M4</f>
        <v>2023</v>
      </c>
      <c r="L62" s="251">
        <f>+PBL!N4</f>
        <v>2024</v>
      </c>
      <c r="M62" s="251">
        <f>+PBL!O4</f>
        <v>2025</v>
      </c>
      <c r="N62" s="251" t="s">
        <v>267</v>
      </c>
    </row>
    <row r="63" spans="3:23" x14ac:dyDescent="0.25">
      <c r="C63" s="253" t="s">
        <v>455</v>
      </c>
      <c r="D63" s="254">
        <f ca="1">+PBL!F20+PBL!F24</f>
        <v>6261.689606312053</v>
      </c>
      <c r="E63" s="254">
        <f ca="1">+PBL!G20+PBL!G24</f>
        <v>6983.0158895808308</v>
      </c>
      <c r="F63" s="254">
        <f ca="1">+PBL!H20+PBL!H24</f>
        <v>7716.5399418207126</v>
      </c>
      <c r="G63" s="254">
        <f ca="1">+PBL!I20+PBL!I24</f>
        <v>8533.2630790388321</v>
      </c>
      <c r="H63" s="254">
        <f ca="1">+PBL!J20+PBL!J24</f>
        <v>9442.4876373673869</v>
      </c>
      <c r="I63" s="254">
        <f ca="1">+PBL!K20+PBL!K24</f>
        <v>10310.661992861249</v>
      </c>
      <c r="J63" s="254">
        <f ca="1">+PBL!L20+PBL!L24</f>
        <v>11009.332135559696</v>
      </c>
      <c r="K63" s="254">
        <f ca="1">+PBL!M20+PBL!M24</f>
        <v>11603.804509019574</v>
      </c>
      <c r="L63" s="254">
        <f ca="1">+PBL!N20+PBL!N24</f>
        <v>12071.083769755238</v>
      </c>
      <c r="M63" s="254">
        <f ca="1">+PBL!O20+PBL!O24</f>
        <v>12479.890753919772</v>
      </c>
      <c r="N63" s="254">
        <f>+PBL!P20+PBL!P24</f>
        <v>0</v>
      </c>
    </row>
    <row r="64" spans="3:23" x14ac:dyDescent="0.25">
      <c r="C64" s="253" t="s">
        <v>456</v>
      </c>
      <c r="D64" s="254">
        <f ca="1">+PBL!F28</f>
        <v>4942.4071099694611</v>
      </c>
      <c r="E64" s="254">
        <f ca="1">+PBL!G28</f>
        <v>5315.9311636170187</v>
      </c>
      <c r="F64" s="254">
        <f ca="1">+PBL!H28</f>
        <v>5721.2479775757447</v>
      </c>
      <c r="G64" s="254">
        <f ca="1">+PBL!I28</f>
        <v>6163.6795367865789</v>
      </c>
      <c r="H64" s="254">
        <f ca="1">+PBL!J28</f>
        <v>6646.2860140027733</v>
      </c>
      <c r="I64" s="254">
        <f ca="1">+PBL!K28</f>
        <v>7146.5922299097483</v>
      </c>
      <c r="J64" s="254">
        <f ca="1">+PBL!L28</f>
        <v>7662.1092011098663</v>
      </c>
      <c r="K64" s="254">
        <f ca="1">+PBL!M28</f>
        <v>8203.4188404556699</v>
      </c>
      <c r="L64" s="254">
        <f ca="1">+PBL!N28</f>
        <v>8769.7003982135084</v>
      </c>
      <c r="M64" s="254">
        <f ca="1">+PBL!O28</f>
        <v>9370.9927512040067</v>
      </c>
      <c r="N64" s="254">
        <f>+PBL!P28</f>
        <v>0</v>
      </c>
    </row>
    <row r="65" spans="2:24" x14ac:dyDescent="0.25">
      <c r="C65" s="1729" t="s">
        <v>1099</v>
      </c>
      <c r="D65" s="1730">
        <f ca="1">D64+D63</f>
        <v>11204.096716281514</v>
      </c>
      <c r="E65" s="1403">
        <f t="shared" ref="E65:N65" ca="1" si="55">E64+E63</f>
        <v>12298.94705319785</v>
      </c>
      <c r="F65" s="1403">
        <f t="shared" ca="1" si="55"/>
        <v>13437.787919396458</v>
      </c>
      <c r="G65" s="1403">
        <f t="shared" ca="1" si="55"/>
        <v>14696.94261582541</v>
      </c>
      <c r="H65" s="1403">
        <f t="shared" ca="1" si="55"/>
        <v>16088.77365137016</v>
      </c>
      <c r="I65" s="1403">
        <f t="shared" ca="1" si="55"/>
        <v>17457.254222770996</v>
      </c>
      <c r="J65" s="1403">
        <f t="shared" ca="1" si="55"/>
        <v>18671.441336669563</v>
      </c>
      <c r="K65" s="1403">
        <f t="shared" ca="1" si="55"/>
        <v>19807.223349475244</v>
      </c>
      <c r="L65" s="1403">
        <f t="shared" ca="1" si="55"/>
        <v>20840.784167968748</v>
      </c>
      <c r="M65" s="1403">
        <f t="shared" ca="1" si="55"/>
        <v>21850.883505123777</v>
      </c>
      <c r="N65" s="1403">
        <f t="shared" si="55"/>
        <v>0</v>
      </c>
    </row>
    <row r="66" spans="2:24" x14ac:dyDescent="0.25">
      <c r="C66" s="2126" t="s">
        <v>1097</v>
      </c>
      <c r="D66" s="1731" t="s">
        <v>288</v>
      </c>
    </row>
    <row r="67" spans="2:24" x14ac:dyDescent="0.25">
      <c r="C67" s="2125"/>
      <c r="D67" s="251">
        <f>+D62</f>
        <v>2016</v>
      </c>
      <c r="E67" s="251">
        <f t="shared" ref="E67:M67" si="56">+E62</f>
        <v>2017</v>
      </c>
      <c r="F67" s="251">
        <f t="shared" si="56"/>
        <v>2018</v>
      </c>
      <c r="G67" s="251">
        <f t="shared" si="56"/>
        <v>2019</v>
      </c>
      <c r="H67" s="251">
        <f t="shared" si="56"/>
        <v>2020</v>
      </c>
      <c r="I67" s="251">
        <f t="shared" si="56"/>
        <v>2021</v>
      </c>
      <c r="J67" s="251">
        <f t="shared" si="56"/>
        <v>2022</v>
      </c>
      <c r="K67" s="251">
        <f t="shared" si="56"/>
        <v>2023</v>
      </c>
      <c r="L67" s="251">
        <f t="shared" si="56"/>
        <v>2024</v>
      </c>
      <c r="M67" s="251">
        <f t="shared" si="56"/>
        <v>2025</v>
      </c>
      <c r="N67" s="251" t="s">
        <v>267</v>
      </c>
    </row>
    <row r="68" spans="2:24" x14ac:dyDescent="0.25">
      <c r="C68" s="253" t="s">
        <v>455</v>
      </c>
      <c r="D68" s="1720">
        <f ca="1">+D63/D65</f>
        <v>0.55887500481968544</v>
      </c>
      <c r="E68" s="1720">
        <f t="shared" ref="E68:M68" ca="1" si="57">+E63/E65</f>
        <v>0.56777347356456642</v>
      </c>
      <c r="F68" s="1720">
        <f t="shared" ca="1" si="57"/>
        <v>0.57424183117836347</v>
      </c>
      <c r="G68" s="1720">
        <f t="shared" ca="1" si="57"/>
        <v>0.58061484637290239</v>
      </c>
      <c r="H68" s="1720">
        <f t="shared" ca="1" si="57"/>
        <v>0.58689915353263988</v>
      </c>
      <c r="I68" s="1720">
        <f t="shared" ca="1" si="57"/>
        <v>0.59062335126059895</v>
      </c>
      <c r="J68" s="1720">
        <f t="shared" ca="1" si="57"/>
        <v>0.58963482984776572</v>
      </c>
      <c r="K68" s="1720">
        <f t="shared" ca="1" si="57"/>
        <v>0.58583701028074664</v>
      </c>
      <c r="L68" s="1720">
        <f t="shared" ca="1" si="57"/>
        <v>0.57920487408088484</v>
      </c>
      <c r="M68" s="1720">
        <f t="shared" ca="1" si="57"/>
        <v>0.57113895422093042</v>
      </c>
      <c r="N68" s="1720">
        <f ca="1">+M68</f>
        <v>0.57113895422093042</v>
      </c>
    </row>
    <row r="69" spans="2:24" x14ac:dyDescent="0.25">
      <c r="C69" s="253" t="s">
        <v>456</v>
      </c>
      <c r="D69" s="1720">
        <f ca="1">1-D68</f>
        <v>0.44112499518031456</v>
      </c>
      <c r="E69" s="1720">
        <f t="shared" ref="E69:M69" ca="1" si="58">1-E68</f>
        <v>0.43222652643543358</v>
      </c>
      <c r="F69" s="1720">
        <f t="shared" ca="1" si="58"/>
        <v>0.42575816882163653</v>
      </c>
      <c r="G69" s="1720">
        <f t="shared" ca="1" si="58"/>
        <v>0.41938515362709761</v>
      </c>
      <c r="H69" s="1720">
        <f t="shared" ca="1" si="58"/>
        <v>0.41310084646736012</v>
      </c>
      <c r="I69" s="1720">
        <f t="shared" ca="1" si="58"/>
        <v>0.40937664873940105</v>
      </c>
      <c r="J69" s="1720">
        <f t="shared" ca="1" si="58"/>
        <v>0.41036517015223428</v>
      </c>
      <c r="K69" s="1720">
        <f t="shared" ca="1" si="58"/>
        <v>0.41416298971925336</v>
      </c>
      <c r="L69" s="1720">
        <f t="shared" ca="1" si="58"/>
        <v>0.42079512591911516</v>
      </c>
      <c r="M69" s="1720">
        <f t="shared" ca="1" si="58"/>
        <v>0.42886104577906958</v>
      </c>
      <c r="N69" s="1720">
        <f t="shared" ref="N69" ca="1" si="59">1-N68</f>
        <v>0.42886104577906958</v>
      </c>
    </row>
    <row r="70" spans="2:24" x14ac:dyDescent="0.25">
      <c r="C70" s="1402" t="s">
        <v>1099</v>
      </c>
      <c r="D70" s="1728">
        <f ca="1">+SUM(D68:D69)</f>
        <v>1</v>
      </c>
      <c r="E70" s="1728">
        <f t="shared" ref="E70:N70" ca="1" si="60">+SUM(E68:E69)</f>
        <v>1</v>
      </c>
      <c r="F70" s="1728">
        <f t="shared" ca="1" si="60"/>
        <v>1</v>
      </c>
      <c r="G70" s="1728">
        <f t="shared" ca="1" si="60"/>
        <v>1</v>
      </c>
      <c r="H70" s="1728">
        <f t="shared" ca="1" si="60"/>
        <v>1</v>
      </c>
      <c r="I70" s="1728">
        <f t="shared" ca="1" si="60"/>
        <v>1</v>
      </c>
      <c r="J70" s="1728">
        <f t="shared" ca="1" si="60"/>
        <v>1</v>
      </c>
      <c r="K70" s="1728">
        <f t="shared" ca="1" si="60"/>
        <v>1</v>
      </c>
      <c r="L70" s="1728">
        <f t="shared" ca="1" si="60"/>
        <v>1</v>
      </c>
      <c r="M70" s="1728">
        <f t="shared" ca="1" si="60"/>
        <v>1</v>
      </c>
      <c r="N70" s="1728">
        <f t="shared" ca="1" si="60"/>
        <v>1</v>
      </c>
    </row>
    <row r="71" spans="2:24" ht="15.75" thickBot="1" x14ac:dyDescent="0.3"/>
    <row r="72" spans="2:24" s="319" customFormat="1" ht="17.25" customHeight="1" thickBot="1" x14ac:dyDescent="0.35">
      <c r="B72" s="1280" t="s">
        <v>297</v>
      </c>
      <c r="C72" s="1281" t="s">
        <v>1313</v>
      </c>
      <c r="D72" s="1282"/>
      <c r="E72" s="1282"/>
      <c r="F72" s="1282"/>
      <c r="G72" s="1283"/>
      <c r="H72" s="1284"/>
      <c r="I72" s="1285"/>
      <c r="J72" s="1285"/>
      <c r="K72" s="1285"/>
      <c r="L72" s="1286"/>
      <c r="M72" s="1286"/>
      <c r="N72" s="1285"/>
      <c r="O72" s="1286"/>
      <c r="P72" s="1286"/>
      <c r="Q72" s="1286"/>
      <c r="R72" s="1286"/>
      <c r="S72" s="1286"/>
      <c r="T72" s="1287"/>
      <c r="W72" s="1286"/>
      <c r="X72" s="1632"/>
    </row>
    <row r="73" spans="2:24" ht="7.9" customHeight="1" x14ac:dyDescent="0.25"/>
    <row r="74" spans="2:24" s="4" customFormat="1" ht="16.5" thickBot="1" x14ac:dyDescent="0.3">
      <c r="C74" s="1739" t="s">
        <v>384</v>
      </c>
      <c r="D74" s="1738">
        <f>+D62</f>
        <v>2016</v>
      </c>
      <c r="E74" s="1738">
        <f t="shared" ref="E74:M74" si="61">+E62</f>
        <v>2017</v>
      </c>
      <c r="F74" s="1738">
        <f t="shared" si="61"/>
        <v>2018</v>
      </c>
      <c r="G74" s="1738">
        <f t="shared" si="61"/>
        <v>2019</v>
      </c>
      <c r="H74" s="1738">
        <f t="shared" si="61"/>
        <v>2020</v>
      </c>
      <c r="I74" s="1738">
        <f t="shared" si="61"/>
        <v>2021</v>
      </c>
      <c r="J74" s="1738">
        <f t="shared" si="61"/>
        <v>2022</v>
      </c>
      <c r="K74" s="1738">
        <f t="shared" si="61"/>
        <v>2023</v>
      </c>
      <c r="L74" s="1738">
        <f t="shared" si="61"/>
        <v>2024</v>
      </c>
      <c r="M74" s="1738">
        <f t="shared" si="61"/>
        <v>2025</v>
      </c>
      <c r="N74" s="1738" t="s">
        <v>267</v>
      </c>
    </row>
    <row r="75" spans="2:24" s="4" customFormat="1" x14ac:dyDescent="0.25">
      <c r="B75" s="1732">
        <v>1</v>
      </c>
      <c r="C75" s="1735" t="s">
        <v>1314</v>
      </c>
      <c r="D75" s="1736">
        <f t="shared" ref="D75:N75" si="62">+D18</f>
        <v>0.11180142996855982</v>
      </c>
      <c r="E75" s="1736">
        <f t="shared" si="62"/>
        <v>0.11180142996855982</v>
      </c>
      <c r="F75" s="1736">
        <f t="shared" si="62"/>
        <v>0.11180142996855982</v>
      </c>
      <c r="G75" s="1736">
        <f t="shared" si="62"/>
        <v>0.11180142996855982</v>
      </c>
      <c r="H75" s="1736">
        <f t="shared" si="62"/>
        <v>0.11180142996855982</v>
      </c>
      <c r="I75" s="1736">
        <f t="shared" si="62"/>
        <v>0.11180142996855982</v>
      </c>
      <c r="J75" s="1736">
        <f t="shared" si="62"/>
        <v>0.11180142996855982</v>
      </c>
      <c r="K75" s="1736">
        <f t="shared" si="62"/>
        <v>0.11180142996855982</v>
      </c>
      <c r="L75" s="1736">
        <f t="shared" si="62"/>
        <v>0.11180142996855982</v>
      </c>
      <c r="M75" s="1736">
        <f t="shared" si="62"/>
        <v>0.11180142996855982</v>
      </c>
      <c r="N75" s="1736">
        <f t="shared" si="62"/>
        <v>0.11180142996855982</v>
      </c>
    </row>
    <row r="76" spans="2:24" s="4" customFormat="1" x14ac:dyDescent="0.25">
      <c r="B76" s="1733">
        <v>2</v>
      </c>
      <c r="C76" s="1734" t="s">
        <v>1315</v>
      </c>
      <c r="D76" s="1737">
        <f t="shared" ref="D76:N76" si="63">+D38</f>
        <v>0.11439074626772647</v>
      </c>
      <c r="E76" s="1737">
        <f t="shared" si="63"/>
        <v>0.11439074626772647</v>
      </c>
      <c r="F76" s="1737">
        <f t="shared" si="63"/>
        <v>0.11439074626772647</v>
      </c>
      <c r="G76" s="1737">
        <f t="shared" si="63"/>
        <v>0.11439074626772647</v>
      </c>
      <c r="H76" s="1737">
        <f t="shared" si="63"/>
        <v>0.11439074626772647</v>
      </c>
      <c r="I76" s="1737">
        <f t="shared" si="63"/>
        <v>0.11439074626772647</v>
      </c>
      <c r="J76" s="1737">
        <f t="shared" si="63"/>
        <v>0.11439074626772647</v>
      </c>
      <c r="K76" s="1737">
        <f t="shared" si="63"/>
        <v>0.11439074626772647</v>
      </c>
      <c r="L76" s="1737">
        <f t="shared" si="63"/>
        <v>0.11439074626772647</v>
      </c>
      <c r="M76" s="1737">
        <f t="shared" si="63"/>
        <v>0.11439074626772647</v>
      </c>
      <c r="N76" s="1737">
        <f t="shared" si="63"/>
        <v>0.11439074626772647</v>
      </c>
    </row>
    <row r="77" spans="2:24" s="4" customFormat="1" x14ac:dyDescent="0.25">
      <c r="B77" s="1733">
        <v>3</v>
      </c>
      <c r="C77" s="1734" t="s">
        <v>1316</v>
      </c>
      <c r="D77" s="1737">
        <f ca="1">+D58</f>
        <v>0.12172471066826565</v>
      </c>
      <c r="E77" s="1737">
        <f t="shared" ref="E77:N77" ca="1" si="64">+E58</f>
        <v>0.12130664732535107</v>
      </c>
      <c r="F77" s="1737">
        <f t="shared" ca="1" si="64"/>
        <v>0.12100275423040181</v>
      </c>
      <c r="G77" s="1737">
        <f t="shared" ca="1" si="64"/>
        <v>0.12070334046461126</v>
      </c>
      <c r="H77" s="1737">
        <f t="shared" ca="1" si="64"/>
        <v>0.12040809433469556</v>
      </c>
      <c r="I77" s="1737">
        <f t="shared" ca="1" si="64"/>
        <v>0.1202331259669389</v>
      </c>
      <c r="J77" s="1737">
        <f t="shared" ca="1" si="64"/>
        <v>0.12027956817831706</v>
      </c>
      <c r="K77" s="1737">
        <f t="shared" ca="1" si="64"/>
        <v>0.12045799540995597</v>
      </c>
      <c r="L77" s="1737">
        <f t="shared" ca="1" si="64"/>
        <v>0.12076958306732388</v>
      </c>
      <c r="M77" s="1737">
        <f t="shared" ca="1" si="64"/>
        <v>0.12114853202101589</v>
      </c>
      <c r="N77" s="1737">
        <f t="shared" ca="1" si="64"/>
        <v>0.12114853202101589</v>
      </c>
    </row>
    <row r="78" spans="2:24" s="4" customFormat="1" ht="14.25" customHeight="1" x14ac:dyDescent="0.25"/>
    <row r="79" spans="2:24" s="4" customFormat="1" ht="18.600000000000001" customHeight="1" thickBot="1" x14ac:dyDescent="0.35">
      <c r="C79" s="2127" t="s">
        <v>1317</v>
      </c>
      <c r="D79" s="2128"/>
      <c r="E79" s="1740">
        <f t="shared" ref="E79:O79" si="65">+D74</f>
        <v>2016</v>
      </c>
      <c r="F79" s="1740">
        <f t="shared" si="65"/>
        <v>2017</v>
      </c>
      <c r="G79" s="1740">
        <f t="shared" si="65"/>
        <v>2018</v>
      </c>
      <c r="H79" s="1740">
        <f t="shared" si="65"/>
        <v>2019</v>
      </c>
      <c r="I79" s="1740">
        <f t="shared" si="65"/>
        <v>2020</v>
      </c>
      <c r="J79" s="1740">
        <f t="shared" si="65"/>
        <v>2021</v>
      </c>
      <c r="K79" s="1740">
        <f t="shared" si="65"/>
        <v>2022</v>
      </c>
      <c r="L79" s="1740">
        <f t="shared" si="65"/>
        <v>2023</v>
      </c>
      <c r="M79" s="1740">
        <f t="shared" si="65"/>
        <v>2024</v>
      </c>
      <c r="N79" s="1740">
        <f t="shared" si="65"/>
        <v>2025</v>
      </c>
      <c r="O79" s="1741" t="str">
        <f t="shared" si="65"/>
        <v>+</v>
      </c>
    </row>
    <row r="80" spans="2:24" s="4" customFormat="1" x14ac:dyDescent="0.25">
      <c r="C80" s="1742" t="s">
        <v>1317</v>
      </c>
      <c r="D80" s="361">
        <v>3</v>
      </c>
      <c r="E80" s="666">
        <f t="shared" ref="E80:O80" ca="1" si="66">IF($D$80=1,D75,IF($D$80=2,D76,D77))</f>
        <v>0.12172471066826565</v>
      </c>
      <c r="F80" s="666">
        <f t="shared" ca="1" si="66"/>
        <v>0.12130664732535107</v>
      </c>
      <c r="G80" s="666">
        <f t="shared" ca="1" si="66"/>
        <v>0.12100275423040181</v>
      </c>
      <c r="H80" s="666">
        <f t="shared" ca="1" si="66"/>
        <v>0.12070334046461126</v>
      </c>
      <c r="I80" s="666">
        <f t="shared" ca="1" si="66"/>
        <v>0.12040809433469556</v>
      </c>
      <c r="J80" s="666">
        <f t="shared" ca="1" si="66"/>
        <v>0.1202331259669389</v>
      </c>
      <c r="K80" s="666">
        <f t="shared" ca="1" si="66"/>
        <v>0.12027956817831706</v>
      </c>
      <c r="L80" s="666">
        <f t="shared" ca="1" si="66"/>
        <v>0.12045799540995597</v>
      </c>
      <c r="M80" s="666">
        <f t="shared" ca="1" si="66"/>
        <v>0.12076958306732388</v>
      </c>
      <c r="N80" s="666">
        <f t="shared" ca="1" si="66"/>
        <v>0.12114853202101589</v>
      </c>
      <c r="O80" s="1743">
        <f t="shared" ca="1" si="66"/>
        <v>0.12114853202101589</v>
      </c>
    </row>
    <row r="81" spans="3:15" x14ac:dyDescent="0.25">
      <c r="C81" s="1744" t="s">
        <v>1318</v>
      </c>
      <c r="D81" s="1745">
        <v>3</v>
      </c>
      <c r="E81" s="1746">
        <f t="shared" ref="E81:N81" ca="1" si="67">1/((1+E80)^(D3))</f>
        <v>0.94418447778868331</v>
      </c>
      <c r="F81" s="1747">
        <f t="shared" ca="1" si="67"/>
        <v>0.84219644694020979</v>
      </c>
      <c r="G81" s="1747">
        <f t="shared" ca="1" si="67"/>
        <v>0.75159399389357562</v>
      </c>
      <c r="H81" s="1747">
        <f t="shared" ca="1" si="67"/>
        <v>0.6710929361301099</v>
      </c>
      <c r="I81" s="1747">
        <f t="shared" ca="1" si="67"/>
        <v>0.59952449280014519</v>
      </c>
      <c r="J81" s="1747">
        <f t="shared" ca="1" si="67"/>
        <v>0.5355545830936046</v>
      </c>
      <c r="K81" s="1747">
        <f t="shared" ca="1" si="67"/>
        <v>0.47794541578850047</v>
      </c>
      <c r="L81" s="1747">
        <f t="shared" ca="1" si="67"/>
        <v>0.42612120838812145</v>
      </c>
      <c r="M81" s="1747">
        <f t="shared" ca="1" si="67"/>
        <v>0.37941207129185794</v>
      </c>
      <c r="N81" s="1747">
        <f t="shared" ca="1" si="67"/>
        <v>0.3374427099375063</v>
      </c>
      <c r="O81" s="1748"/>
    </row>
  </sheetData>
  <mergeCells count="5">
    <mergeCell ref="C21:C22"/>
    <mergeCell ref="C41:C42"/>
    <mergeCell ref="C61:C62"/>
    <mergeCell ref="C66:C67"/>
    <mergeCell ref="C79:D79"/>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18">
    <tabColor rgb="FFC00000"/>
  </sheetPr>
  <dimension ref="B1:R32"/>
  <sheetViews>
    <sheetView zoomScale="96" zoomScaleNormal="96" workbookViewId="0">
      <selection activeCell="Y41" sqref="Y41"/>
    </sheetView>
  </sheetViews>
  <sheetFormatPr defaultColWidth="9.140625" defaultRowHeight="13.5" x14ac:dyDescent="0.25"/>
  <cols>
    <col min="1" max="1" width="5.140625" style="1" customWidth="1"/>
    <col min="2" max="2" width="28.28515625" style="1" customWidth="1"/>
    <col min="3" max="3" width="8.7109375" style="140" bestFit="1" customWidth="1"/>
    <col min="4" max="14" width="8.7109375" style="2" customWidth="1"/>
    <col min="15" max="17" width="9.140625" style="1"/>
    <col min="18" max="18" width="25.7109375" style="1" hidden="1" customWidth="1"/>
    <col min="19" max="16384" width="9.140625" style="1"/>
  </cols>
  <sheetData>
    <row r="1" spans="2:18" x14ac:dyDescent="0.25">
      <c r="B1" s="140"/>
      <c r="D1" s="140"/>
      <c r="E1" s="140"/>
      <c r="F1" s="140"/>
      <c r="G1" s="140"/>
      <c r="H1" s="140"/>
      <c r="I1" s="140"/>
      <c r="J1" s="140"/>
      <c r="K1" s="140"/>
      <c r="L1" s="140"/>
      <c r="M1" s="140"/>
      <c r="N1" s="140"/>
      <c r="R1" s="140"/>
    </row>
    <row r="2" spans="2:18" s="223" customFormat="1" ht="23.25" customHeight="1" thickBot="1" x14ac:dyDescent="0.4">
      <c r="B2" s="1465" t="s">
        <v>1081</v>
      </c>
      <c r="C2" s="1466"/>
      <c r="D2" s="1467"/>
      <c r="E2" s="1467"/>
      <c r="F2" s="1467"/>
      <c r="G2" s="1467"/>
      <c r="H2" s="1467"/>
      <c r="I2" s="1467"/>
      <c r="J2" s="1467"/>
      <c r="K2" s="1467"/>
      <c r="L2" s="1467"/>
      <c r="M2" s="1468"/>
      <c r="N2" s="1469" t="str">
        <f>+UFRS!D2</f>
        <v>ARCLK</v>
      </c>
      <c r="R2" s="222" t="s">
        <v>477</v>
      </c>
    </row>
    <row r="3" spans="2:18" s="1451" customFormat="1" ht="14.25" thickTop="1" x14ac:dyDescent="0.25">
      <c r="B3" s="1447" t="s">
        <v>1082</v>
      </c>
      <c r="C3" s="1448"/>
      <c r="D3" s="1449"/>
      <c r="E3" s="1449"/>
      <c r="F3" s="1449"/>
      <c r="G3" s="1449"/>
      <c r="H3" s="1449"/>
      <c r="I3" s="1449"/>
      <c r="J3" s="1449"/>
      <c r="K3" s="1449"/>
      <c r="L3" s="1449"/>
      <c r="M3" s="1449"/>
      <c r="N3" s="1450"/>
      <c r="R3" s="1452" t="s">
        <v>478</v>
      </c>
    </row>
    <row r="4" spans="2:18" s="3" customFormat="1" ht="15.75" customHeight="1" thickBot="1" x14ac:dyDescent="0.3">
      <c r="B4" s="1419" t="s">
        <v>1083</v>
      </c>
      <c r="C4" s="1453" t="s">
        <v>1085</v>
      </c>
      <c r="D4" s="1412">
        <f>+Web!D9+1</f>
        <v>2016</v>
      </c>
      <c r="E4" s="1412">
        <f>+D4+1</f>
        <v>2017</v>
      </c>
      <c r="F4" s="1412">
        <f t="shared" ref="F4:M4" si="0">+E4+1</f>
        <v>2018</v>
      </c>
      <c r="G4" s="1412">
        <f t="shared" si="0"/>
        <v>2019</v>
      </c>
      <c r="H4" s="1412">
        <f t="shared" si="0"/>
        <v>2020</v>
      </c>
      <c r="I4" s="1412">
        <f t="shared" si="0"/>
        <v>2021</v>
      </c>
      <c r="J4" s="1412">
        <f t="shared" si="0"/>
        <v>2022</v>
      </c>
      <c r="K4" s="1412">
        <f t="shared" si="0"/>
        <v>2023</v>
      </c>
      <c r="L4" s="1412">
        <f t="shared" si="0"/>
        <v>2024</v>
      </c>
      <c r="M4" s="1412">
        <f t="shared" si="0"/>
        <v>2025</v>
      </c>
      <c r="N4" s="1426">
        <f t="shared" ref="N4" si="1">+M4+1</f>
        <v>2026</v>
      </c>
      <c r="R4" s="224" t="s">
        <v>416</v>
      </c>
    </row>
    <row r="5" spans="2:18" ht="4.5" customHeight="1" x14ac:dyDescent="0.25">
      <c r="B5" s="1420"/>
      <c r="C5" s="1454"/>
      <c r="D5" s="238"/>
      <c r="E5" s="238"/>
      <c r="F5" s="238"/>
      <c r="G5" s="238"/>
      <c r="H5" s="238"/>
      <c r="I5" s="238"/>
      <c r="J5" s="238"/>
      <c r="K5" s="238"/>
      <c r="L5" s="238"/>
      <c r="M5" s="238"/>
      <c r="N5" s="1373"/>
    </row>
    <row r="6" spans="2:18" s="1474" customFormat="1" ht="15" customHeight="1" x14ac:dyDescent="0.25">
      <c r="B6" s="1470" t="s">
        <v>1084</v>
      </c>
      <c r="C6" s="1471"/>
      <c r="D6" s="1472">
        <f>+D7/C7-1</f>
        <v>0.12154626262354462</v>
      </c>
      <c r="E6" s="1472">
        <f t="shared" ref="E6:M6" si="2">+E7/D7-1</f>
        <v>0.1113810090803844</v>
      </c>
      <c r="F6" s="1472">
        <f t="shared" si="2"/>
        <v>0.10121011617507292</v>
      </c>
      <c r="G6" s="1472">
        <f t="shared" si="2"/>
        <v>0.10142435044477494</v>
      </c>
      <c r="H6" s="1472">
        <f t="shared" si="2"/>
        <v>0.10163690248535451</v>
      </c>
      <c r="I6" s="1472">
        <f t="shared" si="2"/>
        <v>9.940577863325295E-2</v>
      </c>
      <c r="J6" s="1472">
        <f t="shared" si="2"/>
        <v>8.258837311206535E-2</v>
      </c>
      <c r="K6" s="1472">
        <f t="shared" si="2"/>
        <v>7.5942822282498268E-2</v>
      </c>
      <c r="L6" s="1472">
        <f t="shared" si="2"/>
        <v>6.9070717648241464E-2</v>
      </c>
      <c r="M6" s="1472">
        <f t="shared" si="2"/>
        <v>6.9140221424923931E-2</v>
      </c>
      <c r="N6" s="1473">
        <f>+Sales!Q155</f>
        <v>0.05</v>
      </c>
      <c r="R6" s="1474" t="s">
        <v>262</v>
      </c>
    </row>
    <row r="7" spans="2:18" s="3" customFormat="1" ht="15.6" customHeight="1" x14ac:dyDescent="0.25">
      <c r="B7" s="1421" t="s">
        <v>946</v>
      </c>
      <c r="C7" s="1455">
        <f>+Mali!J56</f>
        <v>14166.1</v>
      </c>
      <c r="D7" s="281">
        <f>+Sales!E154</f>
        <v>15887.936510951396</v>
      </c>
      <c r="E7" s="281">
        <f>+Sales!F154</f>
        <v>17657.550911746246</v>
      </c>
      <c r="F7" s="281">
        <f>+Sales!G154</f>
        <v>19444.673690891348</v>
      </c>
      <c r="G7" s="281">
        <f>+Sales!H154</f>
        <v>21416.837089600605</v>
      </c>
      <c r="H7" s="281">
        <f>+Sales!I154</f>
        <v>23593.578072421064</v>
      </c>
      <c r="I7" s="281">
        <f>+Sales!J154</f>
        <v>25938.916071454521</v>
      </c>
      <c r="J7" s="281">
        <f>+Sales!K154</f>
        <v>28081.168950086354</v>
      </c>
      <c r="K7" s="281">
        <f>+Sales!L154</f>
        <v>30213.732173147568</v>
      </c>
      <c r="L7" s="281">
        <f>+Sales!M154</f>
        <v>32300.616337178635</v>
      </c>
      <c r="M7" s="281">
        <f>+Sales!N154</f>
        <v>34533.888102892684</v>
      </c>
      <c r="N7" s="1427"/>
      <c r="R7" s="3" t="s">
        <v>222</v>
      </c>
    </row>
    <row r="8" spans="2:18" ht="15.6" customHeight="1" x14ac:dyDescent="0.25">
      <c r="B8" s="1420" t="s">
        <v>296</v>
      </c>
      <c r="C8" s="1456">
        <f>+Mali!J57</f>
        <v>9630.2070000000003</v>
      </c>
      <c r="D8" s="286">
        <f>+CoS!E181</f>
        <v>10800.7226691411</v>
      </c>
      <c r="E8" s="286">
        <f>+CoS!F181</f>
        <v>12003.718058827419</v>
      </c>
      <c r="F8" s="286">
        <f>+CoS!G181</f>
        <v>13218.615758094162</v>
      </c>
      <c r="G8" s="286">
        <f>+CoS!H181</f>
        <v>14559.305275137927</v>
      </c>
      <c r="H8" s="286">
        <f>+CoS!I181</f>
        <v>16039.067965641627</v>
      </c>
      <c r="I8" s="286">
        <f>+CoS!J181</f>
        <v>17694.998308208349</v>
      </c>
      <c r="J8" s="286">
        <f>+CoS!K181</f>
        <v>19223.037403328242</v>
      </c>
      <c r="K8" s="286">
        <f>+CoS!L181</f>
        <v>20754.587764915501</v>
      </c>
      <c r="L8" s="286">
        <f>+CoS!M181</f>
        <v>22264.772961763127</v>
      </c>
      <c r="M8" s="286">
        <f>+CoS!N181</f>
        <v>23886.114881703343</v>
      </c>
      <c r="N8" s="1428"/>
      <c r="R8" s="1" t="s">
        <v>205</v>
      </c>
    </row>
    <row r="9" spans="2:18" s="3" customFormat="1" ht="15.6" customHeight="1" x14ac:dyDescent="0.25">
      <c r="B9" s="1421" t="s">
        <v>944</v>
      </c>
      <c r="C9" s="1455">
        <f>+Mali!J58</f>
        <v>4535.893</v>
      </c>
      <c r="D9" s="281">
        <f>+D7-D8</f>
        <v>5087.2138418102968</v>
      </c>
      <c r="E9" s="281">
        <f t="shared" ref="E9:M9" si="3">+E7-E8</f>
        <v>5653.8328529188275</v>
      </c>
      <c r="F9" s="281">
        <f t="shared" si="3"/>
        <v>6226.0579327971864</v>
      </c>
      <c r="G9" s="281">
        <f t="shared" si="3"/>
        <v>6857.5318144626781</v>
      </c>
      <c r="H9" s="281">
        <f t="shared" si="3"/>
        <v>7554.5101067794367</v>
      </c>
      <c r="I9" s="281">
        <f t="shared" si="3"/>
        <v>8243.9177632461724</v>
      </c>
      <c r="J9" s="281">
        <f t="shared" si="3"/>
        <v>8858.1315467581117</v>
      </c>
      <c r="K9" s="281">
        <f t="shared" si="3"/>
        <v>9459.1444082320668</v>
      </c>
      <c r="L9" s="281">
        <f t="shared" si="3"/>
        <v>10035.843375415508</v>
      </c>
      <c r="M9" s="281">
        <f t="shared" si="3"/>
        <v>10647.773221189342</v>
      </c>
      <c r="N9" s="1427"/>
      <c r="R9" s="3" t="s">
        <v>206</v>
      </c>
    </row>
    <row r="10" spans="2:18" s="3" customFormat="1" ht="15.6" customHeight="1" x14ac:dyDescent="0.25">
      <c r="B10" s="1421" t="s">
        <v>945</v>
      </c>
      <c r="C10" s="1455">
        <f>+Mali!J59</f>
        <v>3449.2550000000001</v>
      </c>
      <c r="D10" s="281">
        <f>+SUM(D11:D13)</f>
        <v>3827.6631960655582</v>
      </c>
      <c r="E10" s="281">
        <f t="shared" ref="E10:M10" si="4">+SUM(E11:E13)</f>
        <v>4290.1747512802467</v>
      </c>
      <c r="F10" s="281">
        <f t="shared" si="4"/>
        <v>4757.2623470698891</v>
      </c>
      <c r="G10" s="281">
        <f t="shared" si="4"/>
        <v>5272.7126961769027</v>
      </c>
      <c r="H10" s="281">
        <f t="shared" si="4"/>
        <v>5841.6320363515952</v>
      </c>
      <c r="I10" s="281">
        <f t="shared" si="4"/>
        <v>6454.6163819524427</v>
      </c>
      <c r="J10" s="281">
        <f t="shared" si="4"/>
        <v>7014.52181113188</v>
      </c>
      <c r="K10" s="281">
        <f t="shared" si="4"/>
        <v>7571.8947238119872</v>
      </c>
      <c r="L10" s="281">
        <f t="shared" si="4"/>
        <v>8117.3288250632977</v>
      </c>
      <c r="M10" s="281">
        <f t="shared" si="4"/>
        <v>8701.023214707453</v>
      </c>
      <c r="N10" s="1427"/>
      <c r="R10" s="3" t="s">
        <v>207</v>
      </c>
    </row>
    <row r="11" spans="2:18" ht="15.6" customHeight="1" x14ac:dyDescent="0.25">
      <c r="B11" s="1420" t="s">
        <v>947</v>
      </c>
      <c r="C11" s="1456">
        <f>+Mali!J60</f>
        <v>125.173</v>
      </c>
      <c r="D11" s="286">
        <f>+Opex!E114</f>
        <v>131.05535389460277</v>
      </c>
      <c r="E11" s="286">
        <f>+Opex!F114</f>
        <v>146.50069371105775</v>
      </c>
      <c r="F11" s="286">
        <f>+Opex!G114</f>
        <v>162.09884809159695</v>
      </c>
      <c r="G11" s="286">
        <f>+Opex!H114</f>
        <v>179.31205219581159</v>
      </c>
      <c r="H11" s="286">
        <f>+Opex!I114</f>
        <v>198.31082625470543</v>
      </c>
      <c r="I11" s="286">
        <f>+Opex!J114</f>
        <v>218.7811289168252</v>
      </c>
      <c r="J11" s="286">
        <f>+Opex!K114</f>
        <v>237.47888797008881</v>
      </c>
      <c r="K11" s="286">
        <f>+Opex!L114</f>
        <v>256.09207491378692</v>
      </c>
      <c r="L11" s="286">
        <f>+Opex!M114</f>
        <v>274.30657127896148</v>
      </c>
      <c r="M11" s="286">
        <f>+Opex!N114</f>
        <v>293.79875065343685</v>
      </c>
      <c r="N11" s="1428"/>
      <c r="R11" s="1" t="s">
        <v>224</v>
      </c>
    </row>
    <row r="12" spans="2:18" ht="15.6" customHeight="1" x14ac:dyDescent="0.25">
      <c r="B12" s="1420" t="s">
        <v>1086</v>
      </c>
      <c r="C12" s="1456">
        <f>+Mali!J61</f>
        <v>2722.0140000000001</v>
      </c>
      <c r="D12" s="286">
        <f>+Opex!E115</f>
        <v>3053.819970869029</v>
      </c>
      <c r="E12" s="286">
        <f>+Opex!F115</f>
        <v>3432.1795379275236</v>
      </c>
      <c r="F12" s="286">
        <f>+Opex!G115</f>
        <v>3814.282554660434</v>
      </c>
      <c r="G12" s="286">
        <f>+Opex!H115</f>
        <v>4235.948929758355</v>
      </c>
      <c r="H12" s="286">
        <f>+Opex!I115</f>
        <v>4701.3558429754394</v>
      </c>
      <c r="I12" s="286">
        <f>+Opex!J115</f>
        <v>5202.8103234100199</v>
      </c>
      <c r="J12" s="286">
        <f>+Opex!K115</f>
        <v>5660.8433679675727</v>
      </c>
      <c r="K12" s="286">
        <f>+Opex!L115</f>
        <v>6116.8046765102063</v>
      </c>
      <c r="L12" s="286">
        <f>+Opex!M115</f>
        <v>6562.9993890133173</v>
      </c>
      <c r="M12" s="286">
        <f>+Opex!N115</f>
        <v>7040.4930949980735</v>
      </c>
      <c r="N12" s="1428"/>
      <c r="R12" s="1" t="s">
        <v>225</v>
      </c>
    </row>
    <row r="13" spans="2:18" ht="15.6" customHeight="1" x14ac:dyDescent="0.25">
      <c r="B13" s="1420" t="s">
        <v>949</v>
      </c>
      <c r="C13" s="1456">
        <f>+Mali!J62</f>
        <v>602.06799999999998</v>
      </c>
      <c r="D13" s="286">
        <f>+Opex!E116</f>
        <v>642.78787130192632</v>
      </c>
      <c r="E13" s="286">
        <f>+Opex!F116</f>
        <v>711.49451964166497</v>
      </c>
      <c r="F13" s="286">
        <f>+Opex!G116</f>
        <v>780.88094431785839</v>
      </c>
      <c r="G13" s="286">
        <f>+Opex!H116</f>
        <v>857.4517142227362</v>
      </c>
      <c r="H13" s="286">
        <f>+Opex!I116</f>
        <v>941.96536712145053</v>
      </c>
      <c r="I13" s="286">
        <f>+Opex!J116</f>
        <v>1033.0249296255981</v>
      </c>
      <c r="J13" s="286">
        <f>+Opex!K116</f>
        <v>1116.1995551942184</v>
      </c>
      <c r="K13" s="286">
        <f>+Opex!L116</f>
        <v>1198.9979723879947</v>
      </c>
      <c r="L13" s="286">
        <f>+Opex!M116</f>
        <v>1280.0228647710187</v>
      </c>
      <c r="M13" s="286">
        <f>+Opex!N116</f>
        <v>1366.731369055942</v>
      </c>
      <c r="N13" s="1428"/>
      <c r="R13" s="1" t="s">
        <v>226</v>
      </c>
    </row>
    <row r="14" spans="2:18" s="3" customFormat="1" ht="15.6" customHeight="1" x14ac:dyDescent="0.25">
      <c r="B14" s="1421" t="s">
        <v>950</v>
      </c>
      <c r="C14" s="1455">
        <f>+Mali!J63</f>
        <v>1086.6379999999999</v>
      </c>
      <c r="D14" s="281">
        <f>+D9-D10</f>
        <v>1259.5506457447386</v>
      </c>
      <c r="E14" s="281">
        <f t="shared" ref="E14:M14" si="5">+E9-E10</f>
        <v>1363.6581016385808</v>
      </c>
      <c r="F14" s="281">
        <f t="shared" si="5"/>
        <v>1468.7955857272973</v>
      </c>
      <c r="G14" s="281">
        <f t="shared" si="5"/>
        <v>1584.8191182857754</v>
      </c>
      <c r="H14" s="281">
        <f t="shared" si="5"/>
        <v>1712.8780704278415</v>
      </c>
      <c r="I14" s="281">
        <f t="shared" si="5"/>
        <v>1789.3013812937297</v>
      </c>
      <c r="J14" s="281">
        <f t="shared" si="5"/>
        <v>1843.6097356262317</v>
      </c>
      <c r="K14" s="281">
        <f t="shared" si="5"/>
        <v>1887.2496844200796</v>
      </c>
      <c r="L14" s="281">
        <f t="shared" si="5"/>
        <v>1918.5145503522108</v>
      </c>
      <c r="M14" s="281">
        <f t="shared" si="5"/>
        <v>1946.7500064818887</v>
      </c>
      <c r="N14" s="1427">
        <f>+M14*(1+N6)</f>
        <v>2044.0875068059831</v>
      </c>
      <c r="R14" s="3" t="s">
        <v>208</v>
      </c>
    </row>
    <row r="15" spans="2:18" s="3" customFormat="1" ht="15.6" customHeight="1" x14ac:dyDescent="0.25">
      <c r="B15" s="1422" t="s">
        <v>1087</v>
      </c>
      <c r="C15" s="1455"/>
      <c r="D15" s="286">
        <f>D14*Vars!L15</f>
        <v>251.91012914894773</v>
      </c>
      <c r="E15" s="286">
        <f>E14*Vars!M15</f>
        <v>272.73162032771614</v>
      </c>
      <c r="F15" s="286">
        <f>F14*Vars!N15</f>
        <v>293.75911714545947</v>
      </c>
      <c r="G15" s="286">
        <f>G14*Vars!O15</f>
        <v>316.9638236571551</v>
      </c>
      <c r="H15" s="286">
        <f>H14*Vars!P15</f>
        <v>342.5756140855683</v>
      </c>
      <c r="I15" s="286">
        <f>I14*Vars!Q15</f>
        <v>357.86027625874596</v>
      </c>
      <c r="J15" s="286">
        <f>J14*Vars!R15</f>
        <v>368.72194712524634</v>
      </c>
      <c r="K15" s="286">
        <f>K14*Vars!S15</f>
        <v>377.44993688401593</v>
      </c>
      <c r="L15" s="286">
        <f>L14*Vars!T15</f>
        <v>383.70291007044216</v>
      </c>
      <c r="M15" s="286">
        <f>M14*Vars!U15</f>
        <v>389.35000129637774</v>
      </c>
      <c r="N15" s="1428">
        <f>N14*Vars!V15</f>
        <v>408.81750136119666</v>
      </c>
      <c r="R15" s="228" t="s">
        <v>470</v>
      </c>
    </row>
    <row r="16" spans="2:18" s="3" customFormat="1" ht="15.6" customHeight="1" x14ac:dyDescent="0.25">
      <c r="B16" s="1423" t="s">
        <v>1088</v>
      </c>
      <c r="C16" s="1455"/>
      <c r="D16" s="281">
        <f>+D14-D15</f>
        <v>1007.6405165957909</v>
      </c>
      <c r="E16" s="281">
        <f t="shared" ref="E16:M16" si="6">+E14-E15</f>
        <v>1090.9264813108646</v>
      </c>
      <c r="F16" s="281">
        <f t="shared" si="6"/>
        <v>1175.0364685818379</v>
      </c>
      <c r="G16" s="281">
        <f t="shared" si="6"/>
        <v>1267.8552946286204</v>
      </c>
      <c r="H16" s="281">
        <f t="shared" si="6"/>
        <v>1370.3024563422732</v>
      </c>
      <c r="I16" s="281">
        <f t="shared" si="6"/>
        <v>1431.4411050349838</v>
      </c>
      <c r="J16" s="281">
        <f t="shared" si="6"/>
        <v>1474.8877885009854</v>
      </c>
      <c r="K16" s="281">
        <f t="shared" si="6"/>
        <v>1509.7997475360637</v>
      </c>
      <c r="L16" s="281">
        <f t="shared" si="6"/>
        <v>1534.8116402817686</v>
      </c>
      <c r="M16" s="281">
        <f t="shared" si="6"/>
        <v>1557.400005185511</v>
      </c>
      <c r="N16" s="1427">
        <f t="shared" ref="N16" si="7">+N14-N15</f>
        <v>1635.2700054447864</v>
      </c>
      <c r="R16" s="229" t="s">
        <v>814</v>
      </c>
    </row>
    <row r="17" spans="2:18" ht="15.6" customHeight="1" x14ac:dyDescent="0.25">
      <c r="B17" s="1422" t="s">
        <v>1089</v>
      </c>
      <c r="C17" s="1456"/>
      <c r="D17" s="286">
        <f>+'Dep,Amort&amp;Capex'!E99</f>
        <v>454.57932084669727</v>
      </c>
      <c r="E17" s="286">
        <f>+'Dep,Amort&amp;Capex'!F99</f>
        <v>496.67347885240684</v>
      </c>
      <c r="F17" s="286">
        <f>+'Dep,Amort&amp;Capex'!G99</f>
        <v>543.47658632103958</v>
      </c>
      <c r="G17" s="286">
        <f>+'Dep,Amort&amp;Capex'!H99</f>
        <v>595.43604265504075</v>
      </c>
      <c r="H17" s="286">
        <f>+'Dep,Amort&amp;Capex'!I99</f>
        <v>653.05219033705498</v>
      </c>
      <c r="I17" s="286">
        <f>+'Dep,Amort&amp;Capex'!J99</f>
        <v>696.59737215254506</v>
      </c>
      <c r="J17" s="286">
        <f>+'Dep,Amort&amp;Capex'!K99</f>
        <v>731.70906073335993</v>
      </c>
      <c r="K17" s="286">
        <f>+'Dep,Amort&amp;Capex'!L99</f>
        <v>757.64237858170043</v>
      </c>
      <c r="L17" s="286">
        <f>+'Dep,Amort&amp;Capex'!M99</f>
        <v>773.67396512836854</v>
      </c>
      <c r="M17" s="286">
        <f>+'Dep,Amort&amp;Capex'!N99</f>
        <v>779.81745317580919</v>
      </c>
      <c r="N17" s="1428">
        <f>-N18</f>
        <v>916.67234309658386</v>
      </c>
      <c r="R17" s="228" t="s">
        <v>815</v>
      </c>
    </row>
    <row r="18" spans="2:18" x14ac:dyDescent="0.25">
      <c r="B18" s="1422" t="s">
        <v>1090</v>
      </c>
      <c r="C18" s="1456"/>
      <c r="D18" s="286">
        <f>-'Dep,Amort&amp;Capex'!E44</f>
        <v>-739.47582661315744</v>
      </c>
      <c r="E18" s="286">
        <f>-'Dep,Amort&amp;Capex'!F44</f>
        <v>-821.83939037188236</v>
      </c>
      <c r="F18" s="286">
        <f>-'Dep,Amort&amp;Capex'!G44</f>
        <v>-905.01785054867173</v>
      </c>
      <c r="G18" s="286">
        <f>-'Dep,Amort&amp;Capex'!H44</f>
        <v>-996.80869818149699</v>
      </c>
      <c r="H18" s="286">
        <f>-'Dep,Amort&amp;Capex'!I44</f>
        <v>-1098.1212466351228</v>
      </c>
      <c r="I18" s="286">
        <f>-'Dep,Amort&amp;Capex'!J44</f>
        <v>-1103.5299166607413</v>
      </c>
      <c r="J18" s="286">
        <f>-'Dep,Amort&amp;Capex'!K44</f>
        <v>-1082.3491093148211</v>
      </c>
      <c r="K18" s="286">
        <f>-'Dep,Amort&amp;Capex'!L44</f>
        <v>-1043.6963440669895</v>
      </c>
      <c r="L18" s="286">
        <f>-'Dep,Amort&amp;Capex'!M44</f>
        <v>-986.58863268824996</v>
      </c>
      <c r="M18" s="286">
        <f>-'Dep,Amort&amp;Capex'!N44</f>
        <v>-916.67234309658386</v>
      </c>
      <c r="N18" s="1428">
        <f>+M18</f>
        <v>-916.67234309658386</v>
      </c>
      <c r="R18" s="228" t="s">
        <v>830</v>
      </c>
    </row>
    <row r="19" spans="2:18" x14ac:dyDescent="0.25">
      <c r="B19" s="1422" t="s">
        <v>1091</v>
      </c>
      <c r="C19" s="1456"/>
      <c r="D19" s="286">
        <f>+WCR!H19</f>
        <v>129.51961457935977</v>
      </c>
      <c r="E19" s="286">
        <f>+WCR!I19</f>
        <v>-498.06133265139488</v>
      </c>
      <c r="F19" s="286">
        <f>+WCR!J19</f>
        <v>-502.98909897708745</v>
      </c>
      <c r="G19" s="286">
        <f>+WCR!K19</f>
        <v>-555.06913264621107</v>
      </c>
      <c r="H19" s="286">
        <f>+WCR!L19</f>
        <v>-612.64788207730817</v>
      </c>
      <c r="I19" s="286">
        <f>+WCR!M19</f>
        <v>-661.76219044636673</v>
      </c>
      <c r="J19" s="286">
        <f>+WCR!N19</f>
        <v>-604.87808065854551</v>
      </c>
      <c r="K19" s="286">
        <f>+WCR!O19</f>
        <v>-602.42362864663119</v>
      </c>
      <c r="L19" s="286">
        <f>+WCR!P19</f>
        <v>-589.82880188019772</v>
      </c>
      <c r="M19" s="286">
        <f>+WCR!Q19</f>
        <v>-631.3442643235212</v>
      </c>
      <c r="N19" s="1428">
        <f>+M19*(1+N6)</f>
        <v>-662.91147753969733</v>
      </c>
      <c r="R19" s="228" t="s">
        <v>471</v>
      </c>
    </row>
    <row r="20" spans="2:18" ht="15" customHeight="1" x14ac:dyDescent="0.25">
      <c r="B20" s="1419" t="s">
        <v>1092</v>
      </c>
      <c r="C20" s="1457"/>
      <c r="D20" s="1413">
        <f>SUM(D16:D19)</f>
        <v>852.26362540869047</v>
      </c>
      <c r="E20" s="1413">
        <f t="shared" ref="E20:M20" si="8">SUM(E16:E19)</f>
        <v>267.69923713999412</v>
      </c>
      <c r="F20" s="1413">
        <f t="shared" si="8"/>
        <v>310.50610537711827</v>
      </c>
      <c r="G20" s="1413">
        <f t="shared" si="8"/>
        <v>311.41350645595298</v>
      </c>
      <c r="H20" s="1413">
        <f t="shared" si="8"/>
        <v>312.58551796689721</v>
      </c>
      <c r="I20" s="1413">
        <f t="shared" si="8"/>
        <v>362.74637008042077</v>
      </c>
      <c r="J20" s="1413">
        <f t="shared" si="8"/>
        <v>519.36965926097878</v>
      </c>
      <c r="K20" s="1413">
        <f t="shared" si="8"/>
        <v>621.32215340414336</v>
      </c>
      <c r="L20" s="1413">
        <f t="shared" si="8"/>
        <v>732.06817084168961</v>
      </c>
      <c r="M20" s="1413">
        <f t="shared" si="8"/>
        <v>789.20085094121487</v>
      </c>
      <c r="N20" s="1429">
        <f t="shared" ref="N20" si="9">SUM(N16:N19)</f>
        <v>972.35852790508909</v>
      </c>
      <c r="R20" s="230" t="s">
        <v>472</v>
      </c>
    </row>
    <row r="21" spans="2:18" ht="8.25" customHeight="1" x14ac:dyDescent="0.25">
      <c r="B21" s="1420"/>
      <c r="C21" s="652"/>
      <c r="D21" s="238"/>
      <c r="E21" s="238"/>
      <c r="F21" s="238"/>
      <c r="G21" s="238"/>
      <c r="H21" s="238"/>
      <c r="I21" s="238"/>
      <c r="J21" s="238"/>
      <c r="K21" s="238"/>
      <c r="L21" s="238"/>
      <c r="M21" s="238"/>
      <c r="N21" s="1373"/>
    </row>
    <row r="22" spans="2:18" ht="14.25" thickBot="1" x14ac:dyDescent="0.3">
      <c r="B22" s="1424" t="s">
        <v>1093</v>
      </c>
      <c r="C22" s="1415"/>
      <c r="D22" s="1414"/>
      <c r="E22" s="1414"/>
      <c r="F22" s="1433" t="str">
        <f>CONCATENATE("mn ",Web!D15)</f>
        <v>mn TL</v>
      </c>
      <c r="G22" s="1434" t="s">
        <v>288</v>
      </c>
      <c r="H22" s="238"/>
      <c r="I22" s="1379" t="s">
        <v>1110</v>
      </c>
      <c r="J22" s="1380"/>
      <c r="K22" s="1380"/>
      <c r="L22" s="1380"/>
      <c r="M22" s="1380"/>
      <c r="N22" s="1381"/>
      <c r="R22" s="224" t="s">
        <v>473</v>
      </c>
    </row>
    <row r="23" spans="2:18" x14ac:dyDescent="0.25">
      <c r="B23" s="1422" t="s">
        <v>1094</v>
      </c>
      <c r="C23" s="652"/>
      <c r="D23" s="238"/>
      <c r="E23" s="238"/>
      <c r="F23" s="1437">
        <f ca="1">+SUMPRODUCT(D20:M20,WACC!E81:N81)</f>
        <v>5165.4727022634543</v>
      </c>
      <c r="G23" s="1435">
        <f ca="1">F23/F25</f>
        <v>0.32951128792211526</v>
      </c>
      <c r="H23" s="238"/>
      <c r="I23" s="1372"/>
      <c r="J23" s="238"/>
      <c r="K23" s="238"/>
      <c r="L23" s="238"/>
      <c r="M23" s="238"/>
      <c r="N23" s="1373"/>
      <c r="R23" s="228" t="s">
        <v>816</v>
      </c>
    </row>
    <row r="24" spans="2:18" ht="14.25" thickBot="1" x14ac:dyDescent="0.3">
      <c r="B24" s="1425" t="s">
        <v>1106</v>
      </c>
      <c r="C24" s="1417"/>
      <c r="D24" s="1229"/>
      <c r="E24" s="1229"/>
      <c r="F24" s="1438">
        <f ca="1">+N20/(WACC!O80-'DCF sonuc'!M24)*WACC!N81</f>
        <v>10510.690426583253</v>
      </c>
      <c r="G24" s="1436">
        <f ca="1">F24/F25</f>
        <v>0.67048871207788474</v>
      </c>
      <c r="H24" s="238"/>
      <c r="I24" s="1446" t="s">
        <v>1111</v>
      </c>
      <c r="J24" s="238"/>
      <c r="M24" s="1461">
        <f>+Sales!Q155</f>
        <v>0.05</v>
      </c>
      <c r="N24" s="1373"/>
      <c r="R24" s="233" t="s">
        <v>474</v>
      </c>
    </row>
    <row r="25" spans="2:18" s="3" customFormat="1" x14ac:dyDescent="0.25">
      <c r="B25" s="1421" t="s">
        <v>1107</v>
      </c>
      <c r="C25" s="1430"/>
      <c r="D25" s="1374"/>
      <c r="E25" s="1374"/>
      <c r="F25" s="1439">
        <f ca="1">F24+F23</f>
        <v>15676.163128846707</v>
      </c>
      <c r="G25" s="238"/>
      <c r="H25" s="1374"/>
      <c r="I25" s="1446" t="s">
        <v>1113</v>
      </c>
      <c r="J25" s="1374"/>
      <c r="M25" s="1462">
        <f>+WACC!N16</f>
        <v>0.09</v>
      </c>
      <c r="N25" s="1375"/>
      <c r="R25" s="3" t="s">
        <v>475</v>
      </c>
    </row>
    <row r="26" spans="2:18" s="3" customFormat="1" x14ac:dyDescent="0.25">
      <c r="B26" s="1422" t="s">
        <v>1108</v>
      </c>
      <c r="C26" s="1430"/>
      <c r="D26" s="1374"/>
      <c r="E26" s="1374"/>
      <c r="F26" s="1437">
        <f>+Duz!K22+Mali!J16+Mali!J5+Mali!J6</f>
        <v>2916.6840000000002</v>
      </c>
      <c r="G26" s="238"/>
      <c r="H26" s="1374"/>
      <c r="I26" s="1446" t="s">
        <v>1114</v>
      </c>
      <c r="J26" s="1374"/>
      <c r="M26" s="1462">
        <f>+WACC!N17</f>
        <v>5.5E-2</v>
      </c>
      <c r="N26" s="1375"/>
      <c r="R26" s="228" t="s">
        <v>831</v>
      </c>
    </row>
    <row r="27" spans="2:18" x14ac:dyDescent="0.25">
      <c r="B27" s="1422" t="s">
        <v>1112</v>
      </c>
      <c r="C27" s="1431"/>
      <c r="D27" s="238"/>
      <c r="E27" s="238"/>
      <c r="F27" s="1437">
        <f>+OMali!J23+OMali!J19</f>
        <v>5456.9120000000003</v>
      </c>
      <c r="G27" s="238"/>
      <c r="H27" s="1432"/>
      <c r="I27" s="1446" t="s">
        <v>1115</v>
      </c>
      <c r="J27" s="238"/>
      <c r="M27" s="1463">
        <f>+WACC!N13</f>
        <v>1.0542089551900533</v>
      </c>
      <c r="N27" s="1373"/>
      <c r="R27" s="228" t="s">
        <v>863</v>
      </c>
    </row>
    <row r="28" spans="2:18" ht="14.25" thickBot="1" x14ac:dyDescent="0.3">
      <c r="B28" s="1424" t="s">
        <v>1109</v>
      </c>
      <c r="C28" s="1415"/>
      <c r="D28" s="1416"/>
      <c r="E28" s="1416"/>
      <c r="F28" s="1440">
        <f ca="1">F25-F27+F26</f>
        <v>13135.935128846708</v>
      </c>
      <c r="G28" s="238"/>
      <c r="H28" s="238"/>
      <c r="I28" s="1446" t="s">
        <v>1116</v>
      </c>
      <c r="J28" s="238"/>
      <c r="K28" s="238"/>
      <c r="L28" s="238"/>
      <c r="M28" s="1464">
        <f>-N17/N18</f>
        <v>1</v>
      </c>
      <c r="N28" s="1373"/>
      <c r="R28" s="224" t="s">
        <v>476</v>
      </c>
    </row>
    <row r="29" spans="2:18" ht="7.5" customHeight="1" x14ac:dyDescent="0.25">
      <c r="B29" s="1420"/>
      <c r="C29" s="652"/>
      <c r="D29" s="238"/>
      <c r="E29" s="238"/>
      <c r="F29" s="1441"/>
      <c r="G29" s="238"/>
      <c r="H29" s="238"/>
      <c r="I29" s="1372"/>
      <c r="J29" s="238"/>
      <c r="K29" s="238"/>
      <c r="L29" s="238"/>
      <c r="M29" s="238"/>
      <c r="N29" s="1373"/>
    </row>
    <row r="30" spans="2:18" ht="14.25" thickBot="1" x14ac:dyDescent="0.3">
      <c r="B30" s="1424" t="s">
        <v>517</v>
      </c>
      <c r="C30" s="1415"/>
      <c r="D30" s="1418"/>
      <c r="E30" s="1418"/>
      <c r="F30" s="1442">
        <v>13555</v>
      </c>
      <c r="G30" s="238"/>
      <c r="H30" s="238"/>
      <c r="I30" s="1372"/>
      <c r="J30" s="238"/>
      <c r="K30" s="238"/>
      <c r="L30" s="238"/>
      <c r="M30" s="238"/>
      <c r="N30" s="1373"/>
      <c r="R30" s="224" t="s">
        <v>479</v>
      </c>
    </row>
    <row r="31" spans="2:18" ht="6" customHeight="1" x14ac:dyDescent="0.25">
      <c r="B31" s="1420"/>
      <c r="C31" s="652"/>
      <c r="D31" s="238"/>
      <c r="E31" s="238"/>
      <c r="F31" s="1441"/>
      <c r="G31" s="238"/>
      <c r="H31" s="238"/>
      <c r="I31" s="1372"/>
      <c r="J31" s="238"/>
      <c r="K31" s="238"/>
      <c r="L31" s="238"/>
      <c r="M31" s="238"/>
      <c r="N31" s="1373"/>
    </row>
    <row r="32" spans="2:18" ht="14.25" thickBot="1" x14ac:dyDescent="0.3">
      <c r="B32" s="1379" t="s">
        <v>1453</v>
      </c>
      <c r="C32" s="1411"/>
      <c r="D32" s="1443"/>
      <c r="E32" s="1443"/>
      <c r="F32" s="1444">
        <f ca="1">(F28/F30)-1</f>
        <v>-3.0915888687074289E-2</v>
      </c>
      <c r="G32" s="1377"/>
      <c r="H32" s="1377"/>
      <c r="I32" s="1376"/>
      <c r="J32" s="1377"/>
      <c r="K32" s="1377"/>
      <c r="L32" s="1377"/>
      <c r="M32" s="1377"/>
      <c r="N32" s="1378"/>
      <c r="R32" s="1445" t="s">
        <v>480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19">
    <tabColor rgb="FFC00000"/>
  </sheetPr>
  <dimension ref="A2:Y46"/>
  <sheetViews>
    <sheetView zoomScale="78" zoomScaleNormal="78" workbookViewId="0">
      <selection activeCell="T34" sqref="T34"/>
    </sheetView>
  </sheetViews>
  <sheetFormatPr defaultColWidth="9.140625" defaultRowHeight="15" x14ac:dyDescent="0.25"/>
  <cols>
    <col min="1" max="1" width="3.5703125" style="4" customWidth="1"/>
    <col min="2" max="2" width="22.85546875" style="4" customWidth="1"/>
    <col min="3" max="3" width="10" style="4" customWidth="1"/>
    <col min="4" max="5" width="11.140625" style="4" customWidth="1"/>
    <col min="6" max="6" width="12.85546875" style="4" customWidth="1"/>
    <col min="7" max="7" width="11.140625" style="4" customWidth="1"/>
    <col min="8" max="9" width="9.140625" style="4"/>
    <col min="10" max="10" width="2" style="4" customWidth="1"/>
    <col min="11" max="11" width="18" style="4" customWidth="1"/>
    <col min="12" max="15" width="8.7109375" style="4" customWidth="1"/>
    <col min="16" max="16" width="9.85546875" style="55" bestFit="1" customWidth="1"/>
    <col min="17" max="16384" width="9.140625" style="4"/>
  </cols>
  <sheetData>
    <row r="2" spans="1:25" ht="27" x14ac:dyDescent="0.45">
      <c r="B2" s="156" t="s">
        <v>513</v>
      </c>
      <c r="C2" s="157"/>
      <c r="D2" s="157"/>
      <c r="E2" s="157"/>
      <c r="F2" s="157"/>
      <c r="G2" s="157"/>
    </row>
    <row r="3" spans="1:25" x14ac:dyDescent="0.25">
      <c r="B3" s="158"/>
      <c r="C3" s="158"/>
      <c r="D3" s="158"/>
      <c r="E3" s="158"/>
      <c r="F3" s="158"/>
      <c r="G3" s="159">
        <f ca="1">TODAY()</f>
        <v>43272</v>
      </c>
      <c r="K3" s="7" t="s">
        <v>486</v>
      </c>
      <c r="L3" s="160" t="str">
        <f>UFRS!C4</f>
        <v>TL</v>
      </c>
      <c r="M3" s="4" t="str">
        <f>IF(L3="USD","Dolar-Al","TL")</f>
        <v>TL</v>
      </c>
    </row>
    <row r="4" spans="1:25" ht="21" x14ac:dyDescent="0.35">
      <c r="A4" s="99"/>
      <c r="B4" s="1614" t="s">
        <v>1243</v>
      </c>
      <c r="C4" s="1615"/>
      <c r="D4" s="1616"/>
      <c r="E4" s="1616"/>
      <c r="F4" s="1617"/>
      <c r="G4" s="1618" t="s">
        <v>1244</v>
      </c>
      <c r="H4" s="99"/>
    </row>
    <row r="5" spans="1:25" ht="6.75" customHeight="1" x14ac:dyDescent="0.25"/>
    <row r="6" spans="1:25" x14ac:dyDescent="0.25">
      <c r="B6" s="161" t="s">
        <v>1242</v>
      </c>
      <c r="C6" s="162" t="s">
        <v>499</v>
      </c>
      <c r="D6" s="162" t="s">
        <v>481</v>
      </c>
      <c r="E6" s="163" t="s">
        <v>482</v>
      </c>
      <c r="F6" s="164" t="s">
        <v>483</v>
      </c>
      <c r="G6" s="163" t="s">
        <v>484</v>
      </c>
      <c r="K6" s="165" t="str">
        <f>UFRS!C2</f>
        <v>ARCLK</v>
      </c>
      <c r="L6" s="162" t="s">
        <v>488</v>
      </c>
      <c r="M6" s="164" t="s">
        <v>487</v>
      </c>
      <c r="N6" s="164" t="s">
        <v>489</v>
      </c>
      <c r="O6" s="164" t="s">
        <v>490</v>
      </c>
      <c r="P6" s="166">
        <v>42369</v>
      </c>
      <c r="Q6" s="167">
        <v>42004</v>
      </c>
      <c r="R6" s="167">
        <v>41639</v>
      </c>
      <c r="S6" s="167">
        <v>41274</v>
      </c>
      <c r="T6" s="167">
        <v>40908</v>
      </c>
      <c r="U6" s="167">
        <v>40543</v>
      </c>
      <c r="V6" s="167">
        <v>40178</v>
      </c>
      <c r="W6" s="167">
        <v>39813</v>
      </c>
      <c r="X6" s="167">
        <v>39447</v>
      </c>
      <c r="Y6" s="168">
        <v>39082</v>
      </c>
    </row>
    <row r="7" spans="1:25" x14ac:dyDescent="0.25">
      <c r="B7" s="169" t="s">
        <v>491</v>
      </c>
      <c r="C7" s="170">
        <v>331.43967237215162</v>
      </c>
      <c r="D7" s="171">
        <v>49.523649531411053</v>
      </c>
      <c r="E7" s="172">
        <v>0.7596190160342956</v>
      </c>
      <c r="F7" s="173">
        <v>9.134641408684212</v>
      </c>
      <c r="G7" s="172">
        <v>0.79910696070088183</v>
      </c>
      <c r="K7" s="174" t="s">
        <v>1252</v>
      </c>
      <c r="L7" s="171">
        <f>MEDIAN(P7:Y7)</f>
        <v>12.162947192990861</v>
      </c>
      <c r="M7" s="173">
        <f>MEDIAN(P7:T7)</f>
        <v>13.732819862589801</v>
      </c>
      <c r="N7" s="173">
        <f>MEDIAN(P7:S7)</f>
        <v>14.472535606666355</v>
      </c>
      <c r="O7" s="173">
        <f>MEDIAN(P7:R7)</f>
        <v>13.732819862589801</v>
      </c>
      <c r="P7" s="171">
        <f>_xll.AnalizExpert.AnalizExpertIslem.BO_Tarih_FK($K$6, P6, $M$3)</f>
        <v>10.593074523391921</v>
      </c>
      <c r="Q7" s="173">
        <f>_xll.AnalizExpert.AnalizExpertIslem.BO_Tarih_FK($K$6, Q6, $M$3)</f>
        <v>16.425515934621544</v>
      </c>
      <c r="R7" s="173">
        <f>_xll.AnalizExpert.AnalizExpertIslem.BO_Tarih_FK($K$6, R6, $M$3)</f>
        <v>13.732819862589801</v>
      </c>
      <c r="S7" s="173">
        <f>_xll.AnalizExpert.AnalizExpertIslem.BO_Tarih_FK($K$6, S6, $M$3)</f>
        <v>15.212251350742907</v>
      </c>
      <c r="T7" s="173">
        <f>_xll.AnalizExpert.AnalizExpertIslem.BO_Tarih_FK($K$6, T6, $M$3)</f>
        <v>8.1646744848037329</v>
      </c>
      <c r="U7" s="173">
        <f>_xll.AnalizExpert.AnalizExpertIslem.BO_Tarih_FK($K$6, U6, $M$3)</f>
        <v>10.192905336177438</v>
      </c>
      <c r="V7" s="173">
        <f>_xll.AnalizExpert.AnalizExpertIslem.BO_Tarih_FK($K$6, V6, $M$3)</f>
        <v>8.1436517567623241</v>
      </c>
      <c r="W7" s="173">
        <f>_xll.AnalizExpert.AnalizExpertIslem.BO_Tarih_FK($K$6, W6, $M$3)</f>
        <v>20.704568527918781</v>
      </c>
      <c r="X7" s="173">
        <f>_xll.AnalizExpert.AnalizExpertIslem.BO_Tarih_FK($K$6, X6, $M$3)</f>
        <v>20.661578930688048</v>
      </c>
      <c r="Y7" s="175">
        <f>_xll.AnalizExpert.AnalizExpertIslem.BO_Tarih_FK($K$6, Y6, $M$3)</f>
        <v>10.302936630602781</v>
      </c>
    </row>
    <row r="8" spans="1:25" x14ac:dyDescent="0.25">
      <c r="B8" s="169" t="s">
        <v>492</v>
      </c>
      <c r="C8" s="170">
        <v>9.583114564738004</v>
      </c>
      <c r="D8" s="176">
        <v>0</v>
      </c>
      <c r="E8" s="177">
        <v>0.65855608511427277</v>
      </c>
      <c r="F8" s="178">
        <v>186.4537606406935</v>
      </c>
      <c r="G8" s="177">
        <v>1.098757597822748</v>
      </c>
      <c r="K8" s="174" t="s">
        <v>1253</v>
      </c>
      <c r="L8" s="176">
        <f>MEDIAN(P8:Y8)</f>
        <v>1.5824375260449131</v>
      </c>
      <c r="M8" s="178">
        <f>MEDIAN(P8:T8)</f>
        <v>2.0270347276074721</v>
      </c>
      <c r="N8" s="178">
        <f>MEDIAN(P8:S8)</f>
        <v>2.0425043723224672</v>
      </c>
      <c r="O8" s="178">
        <f>MEDIAN(P8:R8)</f>
        <v>2.0270347276074721</v>
      </c>
      <c r="P8" s="176">
        <f>_xll.AnalizExpert.AnalizExpertIslem.BO_Tarih_PD_DD($K$6, P6, $M$3)</f>
        <v>2.0270347276074721</v>
      </c>
      <c r="Q8" s="178">
        <f>_xll.AnalizExpert.AnalizExpertIslem.BO_Tarih_PD_DD($K$6, Q6, $M$3)</f>
        <v>2.3270880929832112</v>
      </c>
      <c r="R8" s="178">
        <f>_xll.AnalizExpert.AnalizExpertIslem.BO_Tarih_PD_DD($K$6, R6, $M$3)</f>
        <v>2.0207730265084853</v>
      </c>
      <c r="S8" s="178">
        <f>_xll.AnalizExpert.AnalizExpertIslem.BO_Tarih_PD_DD($K$6, S6, $M$3)</f>
        <v>2.0579740170374619</v>
      </c>
      <c r="T8" s="178">
        <f>_xll.AnalizExpert.AnalizExpertIslem.BO_Tarih_PD_DD($K$6, T6, $M$3)</f>
        <v>1.166365620917466</v>
      </c>
      <c r="U8" s="178">
        <f>_xll.AnalizExpert.AnalizExpertIslem.BO_Tarih_PD_DD($K$6, U6, $M$3)</f>
        <v>1.5773149719052704</v>
      </c>
      <c r="V8" s="178">
        <f>_xll.AnalizExpert.AnalizExpertIslem.BO_Tarih_PD_DD($K$6, V6, $M$3)</f>
        <v>1.4640121680658014</v>
      </c>
      <c r="W8" s="178">
        <f>_xll.AnalizExpert.AnalizExpertIslem.BO_Tarih_PD_DD($K$6, W6, $M$3)</f>
        <v>0.42512404131132925</v>
      </c>
      <c r="X8" s="178">
        <f>_xll.AnalizExpert.AnalizExpertIslem.BO_Tarih_PD_DD($K$6, X6, $M$3)</f>
        <v>1.5394315717987601</v>
      </c>
      <c r="Y8" s="179">
        <f>_xll.AnalizExpert.AnalizExpertIslem.BO_Tarih_PD_DD($K$6, Y6, $M$3)</f>
        <v>1.5875600801845557</v>
      </c>
    </row>
    <row r="9" spans="1:25" x14ac:dyDescent="0.25">
      <c r="B9" s="169" t="s">
        <v>493</v>
      </c>
      <c r="C9" s="170">
        <v>11.262207287619447</v>
      </c>
      <c r="D9" s="176">
        <v>50.615168976794891</v>
      </c>
      <c r="E9" s="177">
        <v>1.0069051001253289</v>
      </c>
      <c r="F9" s="178">
        <v>4.6830989760315314</v>
      </c>
      <c r="G9" s="177">
        <v>0.43539882700618221</v>
      </c>
      <c r="K9" s="174" t="s">
        <v>1251</v>
      </c>
      <c r="L9" s="176">
        <f>MEDIAN(P9:Y9)</f>
        <v>8.4974179285163949</v>
      </c>
      <c r="M9" s="178">
        <f>MEDIAN(P9:T9)</f>
        <v>9.6258842654436236</v>
      </c>
      <c r="N9" s="178">
        <f>MEDIAN(P9:S9)</f>
        <v>9.7757821066892951</v>
      </c>
      <c r="O9" s="178">
        <f>MEDIAN(P9:R9)</f>
        <v>9.6258842654436236</v>
      </c>
      <c r="P9" s="176">
        <f>_xll.AnalizExpert.AnalizExpertIslem.BO_Tarih_FirmaDegeri_FAVOK($K$6, P6, $M$3)</f>
        <v>8.7375803566659194</v>
      </c>
      <c r="Q9" s="178">
        <f>_xll.AnalizExpert.AnalizExpertIslem.BO_Tarih_FirmaDegeri_FAVOK($K$6, Q6, $M$3)</f>
        <v>9.9565011648878521</v>
      </c>
      <c r="R9" s="178">
        <f>_xll.AnalizExpert.AnalizExpertIslem.BO_Tarih_FirmaDegeri_FAVOK($K$6, R6, $M$3)</f>
        <v>9.6258842654436236</v>
      </c>
      <c r="S9" s="178">
        <f>_xll.AnalizExpert.AnalizExpertIslem.BO_Tarih_FirmaDegeri_FAVOK($K$6, S6, $M$3)</f>
        <v>9.9256799479349684</v>
      </c>
      <c r="T9" s="178">
        <f>_xll.AnalizExpert.AnalizExpertIslem.BO_Tarih_FirmaDegeri_FAVOK($K$6, T6, $M$3)</f>
        <v>6.9817554203546139</v>
      </c>
      <c r="U9" s="178">
        <f>_xll.AnalizExpert.AnalizExpertIslem.BO_Tarih_FirmaDegeri_FAVOK($K$6, U6, $M$3)</f>
        <v>7.9270781519377715</v>
      </c>
      <c r="V9" s="178">
        <f>_xll.AnalizExpert.AnalizExpertIslem.BO_Tarih_FirmaDegeri_FAVOK($K$6, V6, $M$3)</f>
        <v>5.8874068499884666</v>
      </c>
      <c r="W9" s="178">
        <f>_xll.AnalizExpert.AnalizExpertIslem.BO_Tarih_FirmaDegeri_FAVOK($K$6, W6, $M$3)</f>
        <v>6.39513768844553</v>
      </c>
      <c r="X9" s="178">
        <f>_xll.AnalizExpert.AnalizExpertIslem.BO_Tarih_FirmaDegeri_FAVOK($K$6, X6, $M$3)</f>
        <v>9.010582340178555</v>
      </c>
      <c r="Y9" s="179">
        <f>_xll.AnalizExpert.AnalizExpertIslem.BO_Tarih_FirmaDegeri_FAVOK($K$6, Y6, $M$3)</f>
        <v>8.2572555003668704</v>
      </c>
    </row>
    <row r="10" spans="1:25" x14ac:dyDescent="0.25">
      <c r="B10" s="169" t="s">
        <v>494</v>
      </c>
      <c r="C10" s="170">
        <v>68.920298225349157</v>
      </c>
      <c r="D10" s="176">
        <v>11.27774963249645</v>
      </c>
      <c r="E10" s="177">
        <v>1.4146581327625416</v>
      </c>
      <c r="F10" s="178">
        <v>8.8864116818229597</v>
      </c>
      <c r="G10" s="177">
        <v>0.73491497325979827</v>
      </c>
      <c r="K10" s="180" t="s">
        <v>1254</v>
      </c>
      <c r="L10" s="181">
        <f>MEDIAN(P10:Y10)</f>
        <v>0.88094515143784102</v>
      </c>
      <c r="M10" s="182">
        <f>MEDIAN(P10:T10)</f>
        <v>0.96323518880280801</v>
      </c>
      <c r="N10" s="182">
        <f>MEDIAN(P10:S10)</f>
        <v>0.986138783083917</v>
      </c>
      <c r="O10" s="182">
        <f>MEDIAN(P10:R10)</f>
        <v>1.0090423773650259</v>
      </c>
      <c r="P10" s="181">
        <f>_xll.AnalizExpert.AnalizExpertIslem.BO_Tarih_FirmaDegeri_Ciro($K$6, P6, $M$3)</f>
        <v>0.89833793520093752</v>
      </c>
      <c r="Q10" s="182">
        <f>_xll.AnalizExpert.AnalizExpertIslem.BO_Tarih_FirmaDegeri_Ciro($K$6, Q6, $M$3)</f>
        <v>1.0613933233994188</v>
      </c>
      <c r="R10" s="182">
        <f>_xll.AnalizExpert.AnalizExpertIslem.BO_Tarih_FirmaDegeri_Ciro($K$6, R6, $M$3)</f>
        <v>1.0090423773650259</v>
      </c>
      <c r="S10" s="182">
        <f>_xll.AnalizExpert.AnalizExpertIslem.BO_Tarih_FirmaDegeri_Ciro($K$6, S6, $M$3)</f>
        <v>0.96323518880280801</v>
      </c>
      <c r="T10" s="182">
        <f>_xll.AnalizExpert.AnalizExpertIslem.BO_Tarih_FirmaDegeri_Ciro($K$6, T6, $M$3)</f>
        <v>0.72520733555135752</v>
      </c>
      <c r="U10" s="182">
        <f>_xll.AnalizExpert.AnalizExpertIslem.BO_Tarih_FirmaDegeri_Ciro($K$6, U6, $M$3)</f>
        <v>0.86638655084323035</v>
      </c>
      <c r="V10" s="182">
        <f>_xll.AnalizExpert.AnalizExpertIslem.BO_Tarih_FirmaDegeri_Ciro($K$6, V6, $M$3)</f>
        <v>0.78215338673477053</v>
      </c>
      <c r="W10" s="182">
        <f>_xll.AnalizExpert.AnalizExpertIslem.BO_Tarih_FirmaDegeri_Ciro($K$6, W6, $M$3)</f>
        <v>0.56527105030158531</v>
      </c>
      <c r="X10" s="182">
        <f>_xll.AnalizExpert.AnalizExpertIslem.BO_Tarih_FirmaDegeri_Ciro($K$6, X6, $M$3)</f>
        <v>0.89550375203245158</v>
      </c>
      <c r="Y10" s="183">
        <f>_xll.AnalizExpert.AnalizExpertIslem.BO_Tarih_FirmaDegeri_Ciro($K$6, Y6, $M$3)</f>
        <v>0.77140803798649826</v>
      </c>
    </row>
    <row r="11" spans="1:25" x14ac:dyDescent="0.25">
      <c r="B11" s="169" t="s">
        <v>495</v>
      </c>
      <c r="C11" s="170">
        <v>295.3376036963142</v>
      </c>
      <c r="D11" s="176">
        <v>0</v>
      </c>
      <c r="E11" s="177">
        <v>3.4183444019156259</v>
      </c>
      <c r="F11" s="178">
        <v>15.849952389340421</v>
      </c>
      <c r="G11" s="177">
        <v>0.94376882058494682</v>
      </c>
    </row>
    <row r="12" spans="1:25" x14ac:dyDescent="0.25">
      <c r="B12" s="169" t="s">
        <v>496</v>
      </c>
      <c r="C12" s="170">
        <v>147.88757044348768</v>
      </c>
      <c r="D12" s="176">
        <v>11.811052897918007</v>
      </c>
      <c r="E12" s="177">
        <v>1.1618855525350595</v>
      </c>
      <c r="F12" s="178">
        <v>5.746067714538988</v>
      </c>
      <c r="G12" s="177">
        <v>0.32476895286836527</v>
      </c>
    </row>
    <row r="13" spans="1:25" ht="15.75" x14ac:dyDescent="0.25">
      <c r="B13" s="169" t="s">
        <v>497</v>
      </c>
      <c r="C13" s="170">
        <v>34.65294550036753</v>
      </c>
      <c r="D13" s="176">
        <v>0</v>
      </c>
      <c r="E13" s="177">
        <v>0</v>
      </c>
      <c r="F13" s="178">
        <v>9.6199201391362745</v>
      </c>
      <c r="G13" s="177">
        <v>2.1378529864114912</v>
      </c>
      <c r="J13" s="184" t="s">
        <v>500</v>
      </c>
      <c r="K13" s="185"/>
      <c r="L13" s="185"/>
      <c r="M13" s="185"/>
      <c r="N13" s="186" t="s">
        <v>507</v>
      </c>
    </row>
    <row r="14" spans="1:25" x14ac:dyDescent="0.25">
      <c r="B14" s="187" t="s">
        <v>498</v>
      </c>
      <c r="C14" s="170">
        <v>14.701249606216527</v>
      </c>
      <c r="D14" s="176">
        <v>0.56264458709985365</v>
      </c>
      <c r="E14" s="177">
        <v>0.17184931888381708</v>
      </c>
      <c r="F14" s="178">
        <v>7.8145779150895969</v>
      </c>
      <c r="G14" s="177">
        <v>2.321247672255107E-2</v>
      </c>
      <c r="J14" s="188" t="s">
        <v>485</v>
      </c>
      <c r="K14" s="189" t="s">
        <v>501</v>
      </c>
      <c r="L14" s="190"/>
      <c r="M14" s="191"/>
      <c r="N14" s="192">
        <f>Mali!J56</f>
        <v>14166.1</v>
      </c>
    </row>
    <row r="15" spans="1:25" x14ac:dyDescent="0.25">
      <c r="B15" s="193" t="s">
        <v>1245</v>
      </c>
      <c r="C15" s="194"/>
      <c r="D15" s="195">
        <f>AVERAGE(D7:D14)</f>
        <v>15.473783203215032</v>
      </c>
      <c r="E15" s="196">
        <f>AVERAGE(E7:E14)</f>
        <v>1.0739772009213677</v>
      </c>
      <c r="F15" s="197">
        <f>AVERAGE(F7:F14)</f>
        <v>31.023553858167183</v>
      </c>
      <c r="G15" s="196">
        <f>AVERAGE(G7:G14)</f>
        <v>0.81222269942212055</v>
      </c>
      <c r="J15" s="188" t="s">
        <v>485</v>
      </c>
      <c r="K15" s="189" t="s">
        <v>502</v>
      </c>
      <c r="L15" s="190"/>
      <c r="M15" s="191"/>
      <c r="N15" s="198">
        <f>Mali!J43</f>
        <v>4657.0110000000004</v>
      </c>
    </row>
    <row r="16" spans="1:25" x14ac:dyDescent="0.25">
      <c r="B16" s="193" t="s">
        <v>1246</v>
      </c>
      <c r="C16" s="194"/>
      <c r="D16" s="195">
        <f>MEDIAN(D7:D14)</f>
        <v>5.9201971097981518</v>
      </c>
      <c r="E16" s="196">
        <f>MEDIAN(E7:E14)</f>
        <v>0.88326205807981228</v>
      </c>
      <c r="F16" s="197">
        <f>MEDIAN(F7:F14)</f>
        <v>9.0105265452535868</v>
      </c>
      <c r="G16" s="196">
        <f>MEDIAN(G7:G14)</f>
        <v>0.76701096698033999</v>
      </c>
      <c r="J16" s="188" t="s">
        <v>485</v>
      </c>
      <c r="K16" s="189" t="s">
        <v>503</v>
      </c>
      <c r="L16" s="190"/>
      <c r="M16" s="190"/>
      <c r="N16" s="198">
        <f>+Mali!J65</f>
        <v>1456.4609999999998</v>
      </c>
    </row>
    <row r="17" spans="2:16" x14ac:dyDescent="0.25">
      <c r="B17" s="193" t="s">
        <v>1247</v>
      </c>
      <c r="C17" s="194"/>
      <c r="D17" s="195">
        <f>SUMPRODUCT(D7:D14,$C$7:$C$14)/SUM($C$7:$C$14)</f>
        <v>21.357751866835184</v>
      </c>
      <c r="E17" s="196">
        <f>SUMPRODUCT(E7:E14,$C$7:$C$14)/SUM($C$7:$C$14)</f>
        <v>1.6971591569369795</v>
      </c>
      <c r="F17" s="197">
        <f>SUMPRODUCT(F7:F14,$C$7:$C$14)/SUM($C$7:$C$14)</f>
        <v>12.539812211839404</v>
      </c>
      <c r="G17" s="196">
        <f>SUMPRODUCT(G7:G14,$C$7:$C$14)/SUM($C$7:$C$14)</f>
        <v>0.80119888152300989</v>
      </c>
      <c r="J17" s="188" t="s">
        <v>485</v>
      </c>
      <c r="K17" s="189" t="s">
        <v>504</v>
      </c>
      <c r="L17" s="190"/>
      <c r="M17" s="190"/>
      <c r="N17" s="198">
        <f>Mali!J80</f>
        <v>891.14099999999974</v>
      </c>
    </row>
    <row r="18" spans="2:16" x14ac:dyDescent="0.25">
      <c r="J18" s="188" t="s">
        <v>485</v>
      </c>
      <c r="K18" s="189" t="s">
        <v>505</v>
      </c>
      <c r="L18" s="190"/>
      <c r="M18" s="190"/>
      <c r="N18" s="198">
        <f>+Mali!J80+Mali!J64</f>
        <v>1260.9639999999997</v>
      </c>
      <c r="P18" s="4"/>
    </row>
    <row r="19" spans="2:16" ht="20.25" customHeight="1" x14ac:dyDescent="0.35">
      <c r="B19" s="1614" t="s">
        <v>1248</v>
      </c>
      <c r="C19" s="1615"/>
      <c r="D19" s="1616"/>
      <c r="E19" s="1616"/>
      <c r="F19" s="1617"/>
      <c r="G19" s="1618" t="s">
        <v>1156</v>
      </c>
      <c r="J19" s="199" t="s">
        <v>485</v>
      </c>
      <c r="K19" s="200" t="s">
        <v>506</v>
      </c>
      <c r="L19" s="201"/>
      <c r="M19" s="201"/>
      <c r="N19" s="202">
        <f>Mali!J34+Mali!J26-Mali!J5</f>
        <v>3289.2850000000003</v>
      </c>
      <c r="P19" s="4"/>
    </row>
    <row r="20" spans="2:16" ht="6.75" customHeight="1" x14ac:dyDescent="0.25">
      <c r="K20" s="203"/>
    </row>
    <row r="21" spans="2:16" x14ac:dyDescent="0.25">
      <c r="B21" s="161" t="s">
        <v>1250</v>
      </c>
      <c r="C21" s="162" t="str">
        <f>L6</f>
        <v>10-Y</v>
      </c>
      <c r="D21" s="162" t="str">
        <f>M6</f>
        <v>5-Y</v>
      </c>
      <c r="E21" s="162" t="str">
        <f>N6</f>
        <v>4-Y</v>
      </c>
      <c r="F21" s="162" t="str">
        <f>O6</f>
        <v>3-Y</v>
      </c>
      <c r="G21" s="163" t="s">
        <v>1249</v>
      </c>
    </row>
    <row r="22" spans="2:16" x14ac:dyDescent="0.25">
      <c r="B22" s="169" t="s">
        <v>1252</v>
      </c>
      <c r="C22" s="176">
        <f>L7</f>
        <v>12.162947192990861</v>
      </c>
      <c r="D22" s="176">
        <f t="shared" ref="D22:F25" si="0">M7</f>
        <v>13.732819862589801</v>
      </c>
      <c r="E22" s="176">
        <f t="shared" si="0"/>
        <v>14.472535606666355</v>
      </c>
      <c r="F22" s="176">
        <f t="shared" si="0"/>
        <v>13.732819862589801</v>
      </c>
      <c r="G22" s="204">
        <f>D22</f>
        <v>13.732819862589801</v>
      </c>
    </row>
    <row r="23" spans="2:16" x14ac:dyDescent="0.25">
      <c r="B23" s="169" t="s">
        <v>1253</v>
      </c>
      <c r="C23" s="176">
        <f>L8</f>
        <v>1.5824375260449131</v>
      </c>
      <c r="D23" s="176">
        <f t="shared" si="0"/>
        <v>2.0270347276074721</v>
      </c>
      <c r="E23" s="176">
        <f t="shared" si="0"/>
        <v>2.0425043723224672</v>
      </c>
      <c r="F23" s="176">
        <f t="shared" si="0"/>
        <v>2.0270347276074721</v>
      </c>
      <c r="G23" s="204">
        <f>D23</f>
        <v>2.0270347276074721</v>
      </c>
    </row>
    <row r="24" spans="2:16" x14ac:dyDescent="0.25">
      <c r="B24" s="169" t="s">
        <v>1251</v>
      </c>
      <c r="C24" s="176">
        <f>L9</f>
        <v>8.4974179285163949</v>
      </c>
      <c r="D24" s="176">
        <f t="shared" si="0"/>
        <v>9.6258842654436236</v>
      </c>
      <c r="E24" s="176">
        <f t="shared" si="0"/>
        <v>9.7757821066892951</v>
      </c>
      <c r="F24" s="176">
        <f t="shared" si="0"/>
        <v>9.6258842654436236</v>
      </c>
      <c r="G24" s="204">
        <f>D24</f>
        <v>9.6258842654436236</v>
      </c>
    </row>
    <row r="25" spans="2:16" x14ac:dyDescent="0.25">
      <c r="B25" s="169" t="s">
        <v>1254</v>
      </c>
      <c r="C25" s="176">
        <f>L10</f>
        <v>0.88094515143784102</v>
      </c>
      <c r="D25" s="176">
        <f t="shared" si="0"/>
        <v>0.96323518880280801</v>
      </c>
      <c r="E25" s="176">
        <f t="shared" si="0"/>
        <v>0.986138783083917</v>
      </c>
      <c r="F25" s="176">
        <f t="shared" si="0"/>
        <v>1.0090423773650259</v>
      </c>
      <c r="G25" s="204">
        <f>D25</f>
        <v>0.96323518880280801</v>
      </c>
    </row>
    <row r="26" spans="2:16" x14ac:dyDescent="0.25">
      <c r="B26" s="193"/>
      <c r="C26" s="194"/>
      <c r="D26" s="205"/>
      <c r="E26" s="205"/>
      <c r="F26" s="205"/>
      <c r="G26" s="205"/>
    </row>
    <row r="28" spans="2:16" ht="21" x14ac:dyDescent="0.35">
      <c r="B28" s="206" t="s">
        <v>1255</v>
      </c>
      <c r="C28" s="207"/>
      <c r="D28" s="208" t="s">
        <v>1264</v>
      </c>
    </row>
    <row r="29" spans="2:16" x14ac:dyDescent="0.25">
      <c r="B29" s="1620" t="s">
        <v>1256</v>
      </c>
      <c r="C29" s="1621"/>
      <c r="D29" s="1622">
        <f>AVERAGE(D30:D33)</f>
        <v>6820.9663677881636</v>
      </c>
    </row>
    <row r="30" spans="2:16" x14ac:dyDescent="0.25">
      <c r="B30" s="22" t="s">
        <v>1258</v>
      </c>
      <c r="C30" s="99"/>
      <c r="D30" s="211">
        <f>D16*N17</f>
        <v>5275.7303726226337</v>
      </c>
    </row>
    <row r="31" spans="2:16" x14ac:dyDescent="0.25">
      <c r="B31" s="22" t="s">
        <v>1259</v>
      </c>
      <c r="C31" s="99"/>
      <c r="D31" s="211">
        <f>E16*N15</f>
        <v>4113.361120360325</v>
      </c>
    </row>
    <row r="32" spans="2:16" x14ac:dyDescent="0.25">
      <c r="B32" s="22" t="s">
        <v>1260</v>
      </c>
      <c r="C32" s="99"/>
      <c r="D32" s="211">
        <f>F16*N16-N19</f>
        <v>9834.1955026265823</v>
      </c>
    </row>
    <row r="33" spans="2:16" x14ac:dyDescent="0.25">
      <c r="B33" s="22" t="s">
        <v>1261</v>
      </c>
      <c r="C33" s="99"/>
      <c r="D33" s="211">
        <f>G17*N14-N19</f>
        <v>8060.5784755431105</v>
      </c>
    </row>
    <row r="34" spans="2:16" x14ac:dyDescent="0.25">
      <c r="B34" s="1623" t="s">
        <v>1257</v>
      </c>
      <c r="C34" s="1624"/>
      <c r="D34" s="1625">
        <f>AVERAGE(D35:D38)</f>
        <v>10691.060720062469</v>
      </c>
    </row>
    <row r="35" spans="2:16" x14ac:dyDescent="0.25">
      <c r="B35" s="22" t="s">
        <v>1258</v>
      </c>
      <c r="C35" s="99"/>
      <c r="D35" s="211">
        <f>G22*N17</f>
        <v>12237.878825168134</v>
      </c>
    </row>
    <row r="36" spans="2:16" x14ac:dyDescent="0.25">
      <c r="B36" s="22" t="s">
        <v>1259</v>
      </c>
      <c r="C36" s="99"/>
      <c r="D36" s="211">
        <f>G23*N15</f>
        <v>9439.9230238500022</v>
      </c>
    </row>
    <row r="37" spans="2:16" x14ac:dyDescent="0.25">
      <c r="B37" s="22" t="s">
        <v>1260</v>
      </c>
      <c r="C37" s="99"/>
      <c r="D37" s="211">
        <f>G24*N16-N19</f>
        <v>10730.440023132283</v>
      </c>
    </row>
    <row r="38" spans="2:16" x14ac:dyDescent="0.25">
      <c r="B38" s="29" t="s">
        <v>1261</v>
      </c>
      <c r="C38" s="106"/>
      <c r="D38" s="212">
        <f>G25*N14-N19</f>
        <v>10356.00100809946</v>
      </c>
    </row>
    <row r="39" spans="2:16" x14ac:dyDescent="0.25">
      <c r="B39" s="1613" t="s">
        <v>1265</v>
      </c>
    </row>
    <row r="41" spans="2:16" ht="18.75" x14ac:dyDescent="0.3">
      <c r="B41" s="206" t="s">
        <v>1262</v>
      </c>
      <c r="C41" s="206"/>
      <c r="D41" s="213" t="s">
        <v>518</v>
      </c>
    </row>
    <row r="42" spans="2:16" x14ac:dyDescent="0.25">
      <c r="B42" s="209" t="s">
        <v>1256</v>
      </c>
      <c r="C42" s="210"/>
      <c r="D42" s="214">
        <v>0</v>
      </c>
    </row>
    <row r="43" spans="2:16" x14ac:dyDescent="0.25">
      <c r="B43" s="215" t="s">
        <v>1257</v>
      </c>
      <c r="C43" s="216"/>
      <c r="D43" s="217">
        <v>1</v>
      </c>
    </row>
    <row r="44" spans="2:16" s="122" customFormat="1" ht="15.75" x14ac:dyDescent="0.25">
      <c r="B44" s="218" t="s">
        <v>1263</v>
      </c>
      <c r="C44" s="219"/>
      <c r="D44" s="220">
        <f>D42*D29+D43*D34</f>
        <v>10691.060720062469</v>
      </c>
      <c r="P44" s="221"/>
    </row>
    <row r="45" spans="2:16" ht="5.45" customHeight="1" thickBot="1" x14ac:dyDescent="0.3">
      <c r="B45" s="1619"/>
      <c r="C45" s="1619"/>
      <c r="D45" s="1619"/>
      <c r="E45" s="1619"/>
      <c r="F45" s="1619"/>
      <c r="G45" s="1619"/>
    </row>
    <row r="46" spans="2:16" ht="15.75" thickTop="1" x14ac:dyDescent="0.25"/>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20">
    <tabColor rgb="FFC00000"/>
  </sheetPr>
  <dimension ref="B2:D8"/>
  <sheetViews>
    <sheetView tabSelected="1" zoomScale="256" zoomScaleNormal="256" workbookViewId="0">
      <selection activeCell="C7" sqref="C7:D7"/>
    </sheetView>
  </sheetViews>
  <sheetFormatPr defaultColWidth="9.140625" defaultRowHeight="15" x14ac:dyDescent="0.25"/>
  <cols>
    <col min="1" max="1" width="9.140625" style="4"/>
    <col min="2" max="2" width="34" style="4" customWidth="1"/>
    <col min="3" max="3" width="16" style="55" customWidth="1"/>
    <col min="4" max="16384" width="9.140625" style="4"/>
  </cols>
  <sheetData>
    <row r="2" spans="2:4" ht="18.75" x14ac:dyDescent="0.3">
      <c r="B2" s="1998" t="str">
        <f>RV!K6</f>
        <v>ARCLK</v>
      </c>
      <c r="C2" s="1997"/>
      <c r="D2" s="1129"/>
    </row>
    <row r="3" spans="2:4" ht="15.75" x14ac:dyDescent="0.25">
      <c r="B3" s="143" t="s">
        <v>1477</v>
      </c>
      <c r="C3" s="144" t="s">
        <v>1478</v>
      </c>
      <c r="D3" s="145" t="s">
        <v>518</v>
      </c>
    </row>
    <row r="4" spans="2:4" x14ac:dyDescent="0.25">
      <c r="B4" s="146" t="s">
        <v>1413</v>
      </c>
      <c r="C4" s="147">
        <f ca="1">'DCF sonuc'!F28</f>
        <v>13135.935128846708</v>
      </c>
      <c r="D4" s="148">
        <v>0.5</v>
      </c>
    </row>
    <row r="5" spans="2:4" x14ac:dyDescent="0.25">
      <c r="B5" s="149" t="s">
        <v>513</v>
      </c>
      <c r="C5" s="150">
        <f>RV!D44</f>
        <v>10691.060720062469</v>
      </c>
      <c r="D5" s="151">
        <v>0.5</v>
      </c>
    </row>
    <row r="6" spans="2:4" ht="15.75" x14ac:dyDescent="0.25">
      <c r="B6" s="152" t="s">
        <v>1477</v>
      </c>
      <c r="C6" s="153"/>
      <c r="D6" s="154" t="e">
        <f ca="1">SUMPRODUCT(C4:C5,D4:D5)</f>
        <v>#NAME?</v>
      </c>
    </row>
    <row r="7" spans="2:4" x14ac:dyDescent="0.25">
      <c r="B7" s="149" t="s">
        <v>1479</v>
      </c>
      <c r="C7" s="2129">
        <f>_xll.AnalizExpert.AnalizExpertIslem.FBL_Oran_Cari_PD(B2, "")/1000000</f>
        <v>11595.495997799999</v>
      </c>
      <c r="D7" s="2130"/>
    </row>
    <row r="8" spans="2:4" ht="15.75" x14ac:dyDescent="0.25">
      <c r="B8" s="152" t="s">
        <v>1480</v>
      </c>
      <c r="C8" s="153"/>
      <c r="D8" s="155" t="e">
        <f ca="1">D6/C7-1</f>
        <v>#NAME?</v>
      </c>
    </row>
  </sheetData>
  <mergeCells count="1">
    <mergeCell ref="C7:D7"/>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election activeCell="D8" sqref="D8"/>
    </sheetView>
  </sheetViews>
  <sheetFormatPr defaultColWidth="9.140625" defaultRowHeight="15" x14ac:dyDescent="0.25"/>
  <cols>
    <col min="1" max="16384" width="9.140625" style="4"/>
  </cols>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3" sqref="B3"/>
    </sheetView>
  </sheetViews>
  <sheetFormatPr defaultRowHeight="15" x14ac:dyDescent="0.25"/>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4:S9"/>
  <sheetViews>
    <sheetView workbookViewId="0">
      <selection activeCell="K17" sqref="K17"/>
    </sheetView>
  </sheetViews>
  <sheetFormatPr defaultRowHeight="15" x14ac:dyDescent="0.25"/>
  <cols>
    <col min="10" max="19" width="8.85546875" style="4"/>
  </cols>
  <sheetData>
    <row r="4" spans="11:16" x14ac:dyDescent="0.25">
      <c r="K4" s="708" t="s">
        <v>1454</v>
      </c>
      <c r="L4" s="708"/>
      <c r="M4" s="708"/>
      <c r="N4" s="708"/>
      <c r="O4" s="708"/>
      <c r="P4" s="708"/>
    </row>
    <row r="5" spans="11:16" x14ac:dyDescent="0.25">
      <c r="K5" s="1985" t="s">
        <v>1455</v>
      </c>
      <c r="L5" s="1985"/>
      <c r="M5" s="1985" t="s">
        <v>1456</v>
      </c>
      <c r="N5" s="1985"/>
      <c r="O5" s="1985"/>
      <c r="P5" s="1985"/>
    </row>
    <row r="8" spans="11:16" x14ac:dyDescent="0.25">
      <c r="K8" t="s">
        <v>1457</v>
      </c>
    </row>
    <row r="9" spans="11:16" x14ac:dyDescent="0.25">
      <c r="K9" s="1845" t="s">
        <v>1458</v>
      </c>
      <c r="L9" s="1845"/>
      <c r="M9" s="1845"/>
      <c r="N9" s="184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34</vt:i4>
      </vt:variant>
    </vt:vector>
  </HeadingPairs>
  <TitlesOfParts>
    <vt:vector size="34" baseType="lpstr">
      <vt:lpstr>Ekran</vt:lpstr>
      <vt:lpstr>Web</vt:lpstr>
      <vt:lpstr>UFRS</vt:lpstr>
      <vt:lpstr>VUK</vt:lpstr>
      <vt:lpstr>Mali</vt:lpstr>
      <vt:lpstr>OMali</vt:lpstr>
      <vt:lpstr>Duz</vt:lpstr>
      <vt:lpstr>Adj (2)</vt:lpstr>
      <vt:lpstr>Vars</vt:lpstr>
      <vt:lpstr>DokYon</vt:lpstr>
      <vt:lpstr>ZSkor</vt:lpstr>
      <vt:lpstr>Sales</vt:lpstr>
      <vt:lpstr>CoS</vt:lpstr>
      <vt:lpstr>Opex</vt:lpstr>
      <vt:lpstr>Othex</vt:lpstr>
      <vt:lpstr>WCR</vt:lpstr>
      <vt:lpstr>Dep,Amort&amp;Capex</vt:lpstr>
      <vt:lpstr>Cash</vt:lpstr>
      <vt:lpstr>Debt</vt:lpstr>
      <vt:lpstr>PBL</vt:lpstr>
      <vt:lpstr>PGT</vt:lpstr>
      <vt:lpstr>Dividant</vt:lpstr>
      <vt:lpstr>CFS</vt:lpstr>
      <vt:lpstr>FR yok</vt:lpstr>
      <vt:lpstr>Control yok</vt:lpstr>
      <vt:lpstr>Beta</vt:lpstr>
      <vt:lpstr>CoD</vt:lpstr>
      <vt:lpstr>WACC</vt:lpstr>
      <vt:lpstr>DCF sonuc</vt:lpstr>
      <vt:lpstr>RV</vt:lpstr>
      <vt:lpstr>CV</vt:lpstr>
      <vt:lpstr>Deger</vt:lpstr>
      <vt:lpstr>FDA</vt:lpstr>
      <vt:lpstr>Oku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HUNKAR</dc:creator>
  <cp:lastModifiedBy>secil</cp:lastModifiedBy>
  <dcterms:created xsi:type="dcterms:W3CDTF">2012-03-08T13:10:44Z</dcterms:created>
  <dcterms:modified xsi:type="dcterms:W3CDTF">2018-06-21T16:01:16Z</dcterms:modified>
</cp:coreProperties>
</file>