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stian/WEBDEV/BARINI/RAMA-PRODUCCION/"/>
    </mc:Choice>
  </mc:AlternateContent>
  <xr:revisionPtr revIDLastSave="0" documentId="13_ncr:1_{485965B9-69BB-1141-8C82-46EDBDD6D778}" xr6:coauthVersionLast="45" xr6:coauthVersionMax="45" xr10:uidLastSave="{00000000-0000-0000-0000-000000000000}"/>
  <bookViews>
    <workbookView xWindow="2620" yWindow="1860" windowWidth="35080" windowHeight="26020" tabRatio="500" activeTab="2" xr2:uid="{00000000-000D-0000-FFFF-FFFF00000000}"/>
  </bookViews>
  <sheets>
    <sheet name="Fórmula LA" sheetId="1" r:id="rId1"/>
    <sheet name="Fórmula ARR" sheetId="5" state="hidden" r:id="rId2"/>
    <sheet name="Planeación Pedido" sheetId="6" r:id="rId3"/>
    <sheet name="Requisitos Pedido" sheetId="3" r:id="rId4"/>
    <sheet name="Hoja2" sheetId="10" state="hidden" r:id="rId5"/>
    <sheet name="Hoja1" sheetId="9" state="hidden" r:id="rId6"/>
    <sheet name="Requerimientos MP" sheetId="7" state="hidden" r:id="rId7"/>
    <sheet name="Inventario" sheetId="4" r:id="rId8"/>
    <sheet name="Leche Condensada" sheetId="2" state="hidden" r:id="rId9"/>
  </sheets>
  <definedNames>
    <definedName name="_xlnm.Print_Area" localSheetId="2">'Planeación Pedido'!$N$37:$O$64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6" l="1"/>
  <c r="D23" i="6"/>
  <c r="D27" i="6"/>
  <c r="D15" i="6"/>
  <c r="D39" i="6"/>
  <c r="D11" i="6"/>
  <c r="D24" i="6"/>
  <c r="D12" i="6" l="1"/>
  <c r="F39" i="6"/>
  <c r="D40" i="6" l="1"/>
  <c r="H33" i="6"/>
  <c r="H15" i="6"/>
  <c r="F15" i="6"/>
  <c r="F14" i="6"/>
  <c r="H14" i="6" s="1"/>
  <c r="V33" i="6"/>
  <c r="F27" i="6"/>
  <c r="T27" i="6"/>
  <c r="F35" i="4" l="1"/>
  <c r="F32" i="4"/>
  <c r="F21" i="4"/>
  <c r="F19" i="4"/>
  <c r="F14" i="4"/>
  <c r="F13" i="4"/>
  <c r="T33" i="6" l="1"/>
  <c r="T22" i="6"/>
  <c r="T23" i="6" s="1"/>
  <c r="T15" i="6"/>
  <c r="T11" i="6"/>
  <c r="T12" i="6" l="1"/>
  <c r="T46" i="6"/>
  <c r="T40" i="6"/>
  <c r="T48" i="6"/>
  <c r="T60" i="6"/>
  <c r="T56" i="6"/>
  <c r="T59" i="6"/>
  <c r="T55" i="6"/>
  <c r="T62" i="6"/>
  <c r="T58" i="6"/>
  <c r="T54" i="6"/>
  <c r="T57" i="6"/>
  <c r="T42" i="6"/>
  <c r="T44" i="6"/>
  <c r="T24" i="6"/>
  <c r="T39" i="6"/>
  <c r="T47" i="6"/>
  <c r="T41" i="6"/>
  <c r="T45" i="6"/>
  <c r="R27" i="6"/>
  <c r="P27" i="6"/>
  <c r="P33" i="6" s="1"/>
  <c r="H27" i="6"/>
  <c r="P15" i="6"/>
  <c r="H22" i="6"/>
  <c r="H23" i="6" s="1"/>
  <c r="F22" i="6"/>
  <c r="F23" i="6" s="1"/>
  <c r="H11" i="6"/>
  <c r="F11" i="6"/>
  <c r="F48" i="6" s="1"/>
  <c r="D47" i="6"/>
  <c r="D54" i="6" l="1"/>
  <c r="F26" i="6"/>
  <c r="D33" i="6"/>
  <c r="H59" i="6"/>
  <c r="H55" i="6"/>
  <c r="H57" i="6"/>
  <c r="H56" i="6"/>
  <c r="H62" i="6"/>
  <c r="H58" i="6"/>
  <c r="H54" i="6"/>
  <c r="H60" i="6"/>
  <c r="F62" i="6"/>
  <c r="F58" i="6"/>
  <c r="F54" i="6"/>
  <c r="F60" i="6"/>
  <c r="F59" i="6"/>
  <c r="F57" i="6"/>
  <c r="F56" i="6"/>
  <c r="F55" i="6"/>
  <c r="D60" i="6"/>
  <c r="D56" i="6"/>
  <c r="D55" i="6"/>
  <c r="D59" i="6"/>
  <c r="D62" i="6"/>
  <c r="D58" i="6"/>
  <c r="D57" i="6"/>
  <c r="F33" i="6"/>
  <c r="H24" i="6"/>
  <c r="D42" i="6"/>
  <c r="D46" i="6"/>
  <c r="F47" i="6"/>
  <c r="H39" i="6"/>
  <c r="D41" i="6"/>
  <c r="F42" i="6"/>
  <c r="D45" i="6"/>
  <c r="F46" i="6"/>
  <c r="H47" i="6"/>
  <c r="H48" i="6"/>
  <c r="F12" i="6"/>
  <c r="F41" i="6"/>
  <c r="H42" i="6"/>
  <c r="D44" i="6"/>
  <c r="F45" i="6"/>
  <c r="H46" i="6"/>
  <c r="D48" i="6"/>
  <c r="H40" i="6"/>
  <c r="H44" i="6"/>
  <c r="H12" i="6"/>
  <c r="F24" i="6"/>
  <c r="F40" i="6"/>
  <c r="H41" i="6"/>
  <c r="F44" i="6"/>
  <c r="H45" i="6"/>
  <c r="H26" i="6" l="1"/>
  <c r="J26" i="6" s="1"/>
  <c r="J14" i="6"/>
  <c r="L27" i="6"/>
  <c r="L15" i="6"/>
  <c r="N27" i="6"/>
  <c r="P11" i="6"/>
  <c r="P40" i="6" s="1"/>
  <c r="P22" i="6"/>
  <c r="P23" i="6" s="1"/>
  <c r="P24" i="6" s="1"/>
  <c r="N22" i="6"/>
  <c r="N23" i="6" s="1"/>
  <c r="L22" i="6"/>
  <c r="L23" i="6" s="1"/>
  <c r="J22" i="6"/>
  <c r="J23" i="6" s="1"/>
  <c r="N15" i="6"/>
  <c r="R15" i="6"/>
  <c r="C33" i="4"/>
  <c r="C27" i="4"/>
  <c r="C25" i="4"/>
  <c r="C30" i="4"/>
  <c r="C8" i="4"/>
  <c r="C23" i="4"/>
  <c r="C15" i="4"/>
  <c r="C18" i="4"/>
  <c r="F18" i="4" s="1"/>
  <c r="C31" i="4"/>
  <c r="F31" i="4" s="1"/>
  <c r="C17" i="4"/>
  <c r="F17" i="4" s="1"/>
  <c r="C28" i="4"/>
  <c r="F28" i="4" s="1"/>
  <c r="C22" i="4"/>
  <c r="F22" i="4" s="1"/>
  <c r="C12" i="4"/>
  <c r="C29" i="4"/>
  <c r="F29" i="4" s="1"/>
  <c r="G10" i="4"/>
  <c r="C10" i="4"/>
  <c r="G26" i="4"/>
  <c r="C26" i="4"/>
  <c r="F26" i="4" s="1"/>
  <c r="C20" i="4"/>
  <c r="C6" i="4"/>
  <c r="C34" i="4"/>
  <c r="C9" i="4"/>
  <c r="G11" i="4"/>
  <c r="C11" i="4"/>
  <c r="C16" i="4"/>
  <c r="G23" i="4"/>
  <c r="C7" i="4"/>
  <c r="J15" i="6"/>
  <c r="C4" i="3" s="1"/>
  <c r="J27" i="6"/>
  <c r="J11" i="6"/>
  <c r="J40" i="6" s="1"/>
  <c r="L11" i="6"/>
  <c r="L12" i="6" s="1"/>
  <c r="N11" i="6"/>
  <c r="N40" i="6" s="1"/>
  <c r="R11" i="6"/>
  <c r="R40" i="6" s="1"/>
  <c r="R22" i="6"/>
  <c r="R23" i="6" s="1"/>
  <c r="D14" i="5"/>
  <c r="D12" i="5"/>
  <c r="E3" i="5"/>
  <c r="D15" i="5"/>
  <c r="D9" i="1"/>
  <c r="D15" i="1"/>
  <c r="D16" i="1"/>
  <c r="P42" i="6"/>
  <c r="N62" i="6" l="1"/>
  <c r="N58" i="6"/>
  <c r="N54" i="6"/>
  <c r="N64" i="6"/>
  <c r="N56" i="6"/>
  <c r="N59" i="6"/>
  <c r="N61" i="6"/>
  <c r="N57" i="6"/>
  <c r="N60" i="6"/>
  <c r="N63" i="6"/>
  <c r="N55" i="6"/>
  <c r="T43" i="6"/>
  <c r="F43" i="6"/>
  <c r="H43" i="6"/>
  <c r="D43" i="6"/>
  <c r="T63" i="6"/>
  <c r="H63" i="6"/>
  <c r="F63" i="6"/>
  <c r="D63" i="6"/>
  <c r="T49" i="6"/>
  <c r="F49" i="6"/>
  <c r="D49" i="6"/>
  <c r="H49" i="6"/>
  <c r="T61" i="6"/>
  <c r="D61" i="6"/>
  <c r="H61" i="6"/>
  <c r="F61" i="6"/>
  <c r="T64" i="6"/>
  <c r="H64" i="6"/>
  <c r="F64" i="6"/>
  <c r="D64" i="6"/>
  <c r="R63" i="6"/>
  <c r="R59" i="6"/>
  <c r="R55" i="6"/>
  <c r="R61" i="6"/>
  <c r="R64" i="6"/>
  <c r="R56" i="6"/>
  <c r="R62" i="6"/>
  <c r="R58" i="6"/>
  <c r="R54" i="6"/>
  <c r="R57" i="6"/>
  <c r="R60" i="6"/>
  <c r="J64" i="6"/>
  <c r="J60" i="6"/>
  <c r="J56" i="6"/>
  <c r="J62" i="6"/>
  <c r="J54" i="6"/>
  <c r="J61" i="6"/>
  <c r="J63" i="6"/>
  <c r="J59" i="6"/>
  <c r="J55" i="6"/>
  <c r="J58" i="6"/>
  <c r="J57" i="6"/>
  <c r="T50" i="6"/>
  <c r="F50" i="6"/>
  <c r="D50" i="6"/>
  <c r="H50" i="6"/>
  <c r="L61" i="6"/>
  <c r="L57" i="6"/>
  <c r="L59" i="6"/>
  <c r="L62" i="6"/>
  <c r="L64" i="6"/>
  <c r="L60" i="6"/>
  <c r="L56" i="6"/>
  <c r="L63" i="6"/>
  <c r="L55" i="6"/>
  <c r="L58" i="6"/>
  <c r="L54" i="6"/>
  <c r="P64" i="6"/>
  <c r="P60" i="6"/>
  <c r="P56" i="6"/>
  <c r="P62" i="6"/>
  <c r="P54" i="6"/>
  <c r="P61" i="6"/>
  <c r="P63" i="6"/>
  <c r="P59" i="6"/>
  <c r="P55" i="6"/>
  <c r="P58" i="6"/>
  <c r="P57" i="6"/>
  <c r="V27" i="6"/>
  <c r="J33" i="6"/>
  <c r="V15" i="6"/>
  <c r="E4" i="3"/>
  <c r="D9" i="3" s="1"/>
  <c r="P48" i="6"/>
  <c r="R48" i="6"/>
  <c r="R47" i="6"/>
  <c r="P45" i="6"/>
  <c r="P50" i="6"/>
  <c r="P47" i="6"/>
  <c r="P43" i="6"/>
  <c r="R41" i="6"/>
  <c r="R49" i="6"/>
  <c r="R44" i="6"/>
  <c r="R42" i="6"/>
  <c r="R50" i="6"/>
  <c r="R46" i="6"/>
  <c r="R39" i="6"/>
  <c r="R45" i="6"/>
  <c r="R12" i="6"/>
  <c r="P44" i="6"/>
  <c r="L33" i="6"/>
  <c r="N33" i="6"/>
  <c r="P49" i="6"/>
  <c r="N46" i="6"/>
  <c r="N12" i="6"/>
  <c r="P41" i="6"/>
  <c r="N50" i="6"/>
  <c r="N42" i="6"/>
  <c r="N49" i="6"/>
  <c r="N47" i="6"/>
  <c r="N41" i="6"/>
  <c r="N39" i="6"/>
  <c r="N45" i="6"/>
  <c r="J41" i="6"/>
  <c r="N44" i="6"/>
  <c r="N48" i="6"/>
  <c r="P46" i="6"/>
  <c r="P39" i="6"/>
  <c r="P12" i="6"/>
  <c r="G4" i="3"/>
  <c r="I4" i="3" s="1"/>
  <c r="R33" i="6"/>
  <c r="L24" i="6"/>
  <c r="J49" i="6"/>
  <c r="J45" i="6"/>
  <c r="J50" i="6"/>
  <c r="J46" i="6"/>
  <c r="J42" i="6"/>
  <c r="J47" i="6"/>
  <c r="J43" i="6"/>
  <c r="J39" i="6"/>
  <c r="J12" i="6"/>
  <c r="L14" i="6" s="1"/>
  <c r="N14" i="6" s="1"/>
  <c r="P14" i="6" s="1"/>
  <c r="R14" i="6" s="1"/>
  <c r="T14" i="6" s="1"/>
  <c r="L43" i="6"/>
  <c r="L40" i="6"/>
  <c r="L47" i="6"/>
  <c r="L42" i="6"/>
  <c r="L39" i="6"/>
  <c r="L44" i="6"/>
  <c r="L48" i="6"/>
  <c r="L41" i="6"/>
  <c r="L50" i="6"/>
  <c r="L45" i="6"/>
  <c r="L49" i="6"/>
  <c r="L46" i="6"/>
  <c r="J44" i="6"/>
  <c r="J48" i="6"/>
  <c r="J24" i="6"/>
  <c r="L26" i="6" s="1"/>
  <c r="N26" i="6" s="1"/>
  <c r="R24" i="6"/>
  <c r="N24" i="6"/>
  <c r="N43" i="6"/>
  <c r="R43" i="6"/>
  <c r="P26" i="6" l="1"/>
  <c r="R26" i="6" s="1"/>
  <c r="T26" i="6" s="1"/>
  <c r="H21" i="3"/>
  <c r="H15" i="3"/>
  <c r="H10" i="3"/>
  <c r="E6" i="4" s="1"/>
  <c r="F6" i="4" s="1"/>
  <c r="H14" i="3"/>
  <c r="H9" i="3"/>
  <c r="H17" i="3"/>
  <c r="E34" i="4" s="1"/>
  <c r="F34" i="4" s="1"/>
  <c r="H19" i="3"/>
  <c r="E10" i="4" s="1"/>
  <c r="F10" i="4" s="1"/>
  <c r="H18" i="3"/>
  <c r="E20" i="4" s="1"/>
  <c r="F20" i="4" s="1"/>
  <c r="H12" i="3"/>
  <c r="H8" i="3"/>
  <c r="H11" i="3"/>
  <c r="D12" i="3"/>
  <c r="E23" i="4" s="1"/>
  <c r="F23" i="4" s="1"/>
  <c r="D18" i="3"/>
  <c r="E16" i="4" s="1"/>
  <c r="F16" i="4" s="1"/>
  <c r="D21" i="3"/>
  <c r="F21" i="3" s="1"/>
  <c r="E12" i="4" s="1"/>
  <c r="F12" i="4" s="1"/>
  <c r="D19" i="3"/>
  <c r="E11" i="4" s="1"/>
  <c r="F11" i="4" s="1"/>
  <c r="D11" i="3"/>
  <c r="D17" i="3"/>
  <c r="E27" i="4" s="1"/>
  <c r="F27" i="4" s="1"/>
  <c r="D15" i="3"/>
  <c r="D14" i="3"/>
  <c r="D20" i="3"/>
  <c r="E9" i="4" s="1"/>
  <c r="F9" i="4" s="1"/>
  <c r="D10" i="3"/>
  <c r="E15" i="4" s="1"/>
  <c r="F15" i="4" s="1"/>
  <c r="D8" i="3"/>
  <c r="F9" i="3"/>
  <c r="E25" i="4" s="1"/>
  <c r="F25" i="4" s="1"/>
  <c r="E33" i="4"/>
  <c r="F33" i="4" s="1"/>
  <c r="F8" i="3" l="1"/>
  <c r="E24" i="4" s="1"/>
  <c r="F24" i="4" s="1"/>
  <c r="F14" i="3"/>
  <c r="E8" i="4" s="1"/>
  <c r="F8" i="4" s="1"/>
  <c r="F11" i="3"/>
  <c r="E7" i="4" s="1"/>
  <c r="F7" i="4" s="1"/>
  <c r="F15" i="3"/>
  <c r="E30" i="4" s="1"/>
  <c r="F30" i="4" s="1"/>
</calcChain>
</file>

<file path=xl/sharedStrings.xml><?xml version="1.0" encoding="utf-8"?>
<sst xmlns="http://schemas.openxmlformats.org/spreadsheetml/2006/main" count="606" uniqueCount="122">
  <si>
    <t>Leche Asada</t>
  </si>
  <si>
    <t>Leche</t>
  </si>
  <si>
    <t>Leche Condensada</t>
  </si>
  <si>
    <t>Crema de Leche</t>
  </si>
  <si>
    <t>Azucar</t>
  </si>
  <si>
    <t>Huevos</t>
  </si>
  <si>
    <t>Benzoato</t>
  </si>
  <si>
    <t>Sorbato</t>
  </si>
  <si>
    <t>Moldes de Aluminio</t>
  </si>
  <si>
    <t>Cucharitas</t>
  </si>
  <si>
    <t>Etiqueta</t>
  </si>
  <si>
    <t>Caja</t>
  </si>
  <si>
    <t>Cinta</t>
  </si>
  <si>
    <t>Rollo de tinta (Fechar)</t>
  </si>
  <si>
    <t>Citrosan</t>
  </si>
  <si>
    <t>Degratec</t>
  </si>
  <si>
    <t>Gas</t>
  </si>
  <si>
    <t>min</t>
  </si>
  <si>
    <t>prom</t>
  </si>
  <si>
    <t>max</t>
  </si>
  <si>
    <t>litros</t>
  </si>
  <si>
    <t>gramos</t>
  </si>
  <si>
    <t>Kg</t>
  </si>
  <si>
    <t>Cubetas</t>
  </si>
  <si>
    <t>unidades</t>
  </si>
  <si>
    <t>rollo</t>
  </si>
  <si>
    <t>Wypall</t>
  </si>
  <si>
    <t>Prueba</t>
  </si>
  <si>
    <t>prueba</t>
  </si>
  <si>
    <t>* ir de menos a más para cada una de las frecuencia</t>
  </si>
  <si>
    <t>Costo Proveedor A</t>
  </si>
  <si>
    <t>Costo Proveedor B</t>
  </si>
  <si>
    <t>No hay limite en vencimiento</t>
  </si>
  <si>
    <t>2 días cajas</t>
  </si>
  <si>
    <t># Cajas</t>
  </si>
  <si>
    <t>Cantidad L.A.</t>
  </si>
  <si>
    <t>Materia Prima</t>
  </si>
  <si>
    <t>Cantidad Requerida</t>
  </si>
  <si>
    <t>Unidad</t>
  </si>
  <si>
    <t>Insumo</t>
  </si>
  <si>
    <t>Conservantes</t>
  </si>
  <si>
    <t>Empaque</t>
  </si>
  <si>
    <t>Inventario Inicial</t>
  </si>
  <si>
    <t>Inventario Final</t>
  </si>
  <si>
    <t>Bolsas</t>
  </si>
  <si>
    <t xml:space="preserve">Cinta cajas </t>
  </si>
  <si>
    <t>Arroz de Leche</t>
  </si>
  <si>
    <t>Arroz</t>
  </si>
  <si>
    <t>Uva Pasa</t>
  </si>
  <si>
    <t>Vasos</t>
  </si>
  <si>
    <t>Foil</t>
  </si>
  <si>
    <t>Orden de Producción Leche Asada</t>
  </si>
  <si>
    <t>Orden de Producción Arroz de Leche</t>
  </si>
  <si>
    <t>Cantidad ARR</t>
  </si>
  <si>
    <t>Galón</t>
  </si>
  <si>
    <t xml:space="preserve">Lunes </t>
  </si>
  <si>
    <t>Martes</t>
  </si>
  <si>
    <t>Miércoles</t>
  </si>
  <si>
    <t>Jueves</t>
  </si>
  <si>
    <t>Viernes</t>
  </si>
  <si>
    <t>Moldes Al</t>
  </si>
  <si>
    <t># de Tandas</t>
  </si>
  <si>
    <t xml:space="preserve">Cantidad </t>
  </si>
  <si>
    <t>Cajas</t>
  </si>
  <si>
    <t>Objetivo</t>
  </si>
  <si>
    <t>Resultado</t>
  </si>
  <si>
    <t>Sábado</t>
  </si>
  <si>
    <t>Orden Producción #</t>
  </si>
  <si>
    <t>Total</t>
  </si>
  <si>
    <t>Arroz Leche</t>
  </si>
  <si>
    <t>Cantidad</t>
  </si>
  <si>
    <t>unid</t>
  </si>
  <si>
    <t>gr.</t>
  </si>
  <si>
    <t>cub.</t>
  </si>
  <si>
    <t>Gal</t>
  </si>
  <si>
    <t>L</t>
  </si>
  <si>
    <t>Pedido</t>
  </si>
  <si>
    <t>Domingo</t>
  </si>
  <si>
    <t>Venta</t>
  </si>
  <si>
    <t>KG</t>
  </si>
  <si>
    <t>Caja LA</t>
  </si>
  <si>
    <t>Caja ARR</t>
  </si>
  <si>
    <t>TOTAL</t>
  </si>
  <si>
    <t>Soacha</t>
  </si>
  <si>
    <t>Cota</t>
  </si>
  <si>
    <t>Tocancipá</t>
  </si>
  <si>
    <t>Funza</t>
  </si>
  <si>
    <t>Almacenamiento max</t>
  </si>
  <si>
    <t xml:space="preserve">Re Orden </t>
  </si>
  <si>
    <t>Cartones</t>
  </si>
  <si>
    <t xml:space="preserve">Caja Leche Asada </t>
  </si>
  <si>
    <t xml:space="preserve">Crema de leche </t>
  </si>
  <si>
    <t>Vasos arroz</t>
  </si>
  <si>
    <t xml:space="preserve">Arroz </t>
  </si>
  <si>
    <t>Tapas</t>
  </si>
  <si>
    <t xml:space="preserve">Maicena </t>
  </si>
  <si>
    <t>Cajas Arroz</t>
  </si>
  <si>
    <t>Uvas pasas</t>
  </si>
  <si>
    <t xml:space="preserve">Gorros </t>
  </si>
  <si>
    <t xml:space="preserve">Penta Quat </t>
  </si>
  <si>
    <t xml:space="preserve">Clorexin </t>
  </si>
  <si>
    <t xml:space="preserve">Tapa Bocas </t>
  </si>
  <si>
    <t xml:space="preserve">Esponjillas </t>
  </si>
  <si>
    <t xml:space="preserve">Delantales </t>
  </si>
  <si>
    <t xml:space="preserve">Unidad </t>
  </si>
  <si>
    <t xml:space="preserve">litros </t>
  </si>
  <si>
    <t>galones</t>
  </si>
  <si>
    <t>kg</t>
  </si>
  <si>
    <t>cubetas</t>
  </si>
  <si>
    <t>rollos</t>
  </si>
  <si>
    <t>Bolsa</t>
  </si>
  <si>
    <t>Tiempo de entrega (Días)</t>
  </si>
  <si>
    <t>Viernes (2)</t>
  </si>
  <si>
    <t>Sábado (2)</t>
  </si>
  <si>
    <t>Max. 26 Tandas</t>
  </si>
  <si>
    <t>Max. 45 Kgs</t>
  </si>
  <si>
    <t>Planeación de Producción</t>
  </si>
  <si>
    <t xml:space="preserve">Versión </t>
  </si>
  <si>
    <t>Fecha de Emisión</t>
  </si>
  <si>
    <t>FO - PR - 01</t>
  </si>
  <si>
    <t>FO - IN - 01</t>
  </si>
  <si>
    <t>Inventario Materia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</si>
</sst>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#,##0.0"/>
    <numFmt numFmtId="167" formatCode="_-&quot;$&quot;* #,##0_-;\-&quot;$&quot;* #,##0_-;_-&quot;$&quot;* &quot;-&quot;??_-;_-@_-"/>
    <numFmt numFmtId="168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20" borderId="0" applyNumberFormat="0" applyBorder="0" applyAlignment="0" applyProtection="0"/>
  </cellStyleXfs>
  <cellXfs count="249">
    <xf numFmtId="0" fontId="0" fillId="0" borderId="0" xfId="0"/>
    <xf numFmtId="164" fontId="0" fillId="0" borderId="0" xfId="1" applyFont="1"/>
    <xf numFmtId="3" fontId="0" fillId="0" borderId="17" xfId="0" applyNumberFormat="1" applyFill="1" applyBorder="1" applyAlignment="1" applyProtection="1">
      <alignment horizontal="center" vertical="center"/>
    </xf>
    <xf numFmtId="3" fontId="0" fillId="0" borderId="19" xfId="0" applyNumberFormat="1" applyFill="1" applyBorder="1" applyAlignment="1" applyProtection="1">
      <alignment horizontal="center" vertical="center"/>
    </xf>
    <xf numFmtId="3" fontId="0" fillId="0" borderId="0" xfId="0" applyNumberFormat="1" applyAlignment="1" applyProtection="1">
      <alignment horizontal="center" vertical="center"/>
      <protection locked="0"/>
    </xf>
    <xf numFmtId="3" fontId="4" fillId="8" borderId="9" xfId="0" applyNumberFormat="1" applyFont="1" applyFill="1" applyBorder="1" applyAlignment="1" applyProtection="1">
      <alignment horizontal="center" vertical="center"/>
    </xf>
    <xf numFmtId="3" fontId="4" fillId="8" borderId="10" xfId="0" applyNumberFormat="1" applyFont="1" applyFill="1" applyBorder="1" applyAlignment="1" applyProtection="1">
      <alignment horizontal="center" vertical="center"/>
    </xf>
    <xf numFmtId="3" fontId="3" fillId="5" borderId="23" xfId="0" applyNumberFormat="1" applyFont="1" applyFill="1" applyBorder="1" applyAlignment="1" applyProtection="1">
      <alignment horizontal="center" vertical="center"/>
    </xf>
    <xf numFmtId="3" fontId="3" fillId="5" borderId="24" xfId="0" applyNumberFormat="1" applyFont="1" applyFill="1" applyBorder="1" applyAlignment="1" applyProtection="1">
      <alignment horizontal="center" vertical="center"/>
    </xf>
    <xf numFmtId="3" fontId="3" fillId="5" borderId="25" xfId="0" applyNumberFormat="1" applyFont="1" applyFill="1" applyBorder="1" applyAlignment="1" applyProtection="1">
      <alignment horizontal="center" vertical="center"/>
    </xf>
    <xf numFmtId="3" fontId="4" fillId="6" borderId="2" xfId="0" applyNumberFormat="1" applyFont="1" applyFill="1" applyBorder="1" applyAlignment="1" applyProtection="1">
      <alignment horizontal="center" vertical="center"/>
    </xf>
    <xf numFmtId="3" fontId="4" fillId="6" borderId="3" xfId="0" applyNumberFormat="1" applyFont="1" applyFill="1" applyBorder="1" applyAlignment="1" applyProtection="1">
      <alignment horizontal="center" vertical="center"/>
    </xf>
    <xf numFmtId="3" fontId="4" fillId="6" borderId="4" xfId="0" applyNumberFormat="1" applyFont="1" applyFill="1" applyBorder="1" applyAlignment="1" applyProtection="1">
      <alignment horizontal="center" vertical="center"/>
    </xf>
    <xf numFmtId="3" fontId="4" fillId="2" borderId="20" xfId="0" applyNumberFormat="1" applyFont="1" applyFill="1" applyBorder="1" applyAlignment="1" applyProtection="1">
      <alignment horizontal="center" vertical="center"/>
    </xf>
    <xf numFmtId="3" fontId="0" fillId="0" borderId="12" xfId="0" applyNumberFormat="1" applyBorder="1" applyAlignment="1" applyProtection="1">
      <alignment horizontal="center" vertical="center"/>
    </xf>
    <xf numFmtId="3" fontId="4" fillId="2" borderId="21" xfId="0" applyNumberFormat="1" applyFont="1" applyFill="1" applyBorder="1" applyAlignment="1" applyProtection="1">
      <alignment horizontal="center" vertical="center"/>
    </xf>
    <xf numFmtId="3" fontId="0" fillId="0" borderId="14" xfId="0" applyNumberFormat="1" applyBorder="1" applyAlignment="1" applyProtection="1">
      <alignment horizontal="center" vertical="center"/>
    </xf>
    <xf numFmtId="3" fontId="4" fillId="2" borderId="22" xfId="0" applyNumberFormat="1" applyFont="1" applyFill="1" applyBorder="1" applyAlignment="1" applyProtection="1">
      <alignment horizontal="center" vertical="center"/>
    </xf>
    <xf numFmtId="3" fontId="0" fillId="0" borderId="16" xfId="0" applyNumberFormat="1" applyBorder="1" applyAlignment="1" applyProtection="1">
      <alignment horizontal="center" vertical="center"/>
    </xf>
    <xf numFmtId="3" fontId="4" fillId="9" borderId="2" xfId="0" applyNumberFormat="1" applyFont="1" applyFill="1" applyBorder="1" applyAlignment="1" applyProtection="1">
      <alignment horizontal="center" vertical="center"/>
    </xf>
    <xf numFmtId="3" fontId="4" fillId="9" borderId="3" xfId="0" applyNumberFormat="1" applyFont="1" applyFill="1" applyBorder="1" applyAlignment="1" applyProtection="1">
      <alignment horizontal="center" vertical="center"/>
    </xf>
    <xf numFmtId="3" fontId="0" fillId="0" borderId="12" xfId="0" applyNumberFormat="1" applyFill="1" applyBorder="1" applyAlignment="1" applyProtection="1">
      <alignment horizontal="center" vertical="center"/>
    </xf>
    <xf numFmtId="3" fontId="0" fillId="0" borderId="16" xfId="0" applyNumberFormat="1" applyFill="1" applyBorder="1" applyAlignment="1" applyProtection="1">
      <alignment horizontal="center" vertical="center"/>
    </xf>
    <xf numFmtId="3" fontId="0" fillId="0" borderId="11" xfId="0" applyNumberFormat="1" applyFill="1" applyBorder="1" applyAlignment="1" applyProtection="1">
      <alignment horizontal="center" vertical="center"/>
    </xf>
    <xf numFmtId="3" fontId="0" fillId="0" borderId="13" xfId="0" applyNumberFormat="1" applyFill="1" applyBorder="1" applyAlignment="1" applyProtection="1">
      <alignment horizontal="center" vertical="center"/>
    </xf>
    <xf numFmtId="3" fontId="0" fillId="0" borderId="14" xfId="0" applyNumberFormat="1" applyFill="1" applyBorder="1" applyAlignment="1" applyProtection="1">
      <alignment horizontal="center" vertical="center"/>
    </xf>
    <xf numFmtId="3" fontId="0" fillId="0" borderId="15" xfId="0" applyNumberFormat="1" applyFill="1" applyBorder="1" applyAlignment="1" applyProtection="1">
      <alignment horizontal="center" vertical="center"/>
    </xf>
    <xf numFmtId="0" fontId="0" fillId="0" borderId="0" xfId="0" applyAlignment="1">
      <alignment wrapText="1"/>
    </xf>
    <xf numFmtId="3" fontId="0" fillId="0" borderId="18" xfId="0" applyNumberFormat="1" applyBorder="1" applyAlignment="1" applyProtection="1">
      <alignment horizontal="center" vertical="center" wrapText="1"/>
    </xf>
    <xf numFmtId="3" fontId="0" fillId="0" borderId="1" xfId="0" applyNumberFormat="1" applyFill="1" applyBorder="1" applyAlignment="1" applyProtection="1">
      <alignment horizontal="center" vertical="center" wrapText="1"/>
    </xf>
    <xf numFmtId="3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3" fontId="4" fillId="2" borderId="36" xfId="0" applyNumberFormat="1" applyFont="1" applyFill="1" applyBorder="1" applyAlignment="1" applyProtection="1">
      <alignment horizontal="center" vertical="center"/>
    </xf>
    <xf numFmtId="3" fontId="4" fillId="2" borderId="26" xfId="0" applyNumberFormat="1" applyFont="1" applyFill="1" applyBorder="1" applyAlignment="1" applyProtection="1">
      <alignment horizontal="center" vertical="center"/>
    </xf>
    <xf numFmtId="3" fontId="4" fillId="2" borderId="27" xfId="0" applyNumberFormat="1" applyFont="1" applyFill="1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 vertical="center"/>
    </xf>
    <xf numFmtId="3" fontId="4" fillId="2" borderId="30" xfId="0" applyNumberFormat="1" applyFont="1" applyFill="1" applyBorder="1" applyAlignment="1" applyProtection="1">
      <alignment horizontal="center" vertical="center"/>
    </xf>
    <xf numFmtId="3" fontId="0" fillId="0" borderId="31" xfId="0" applyNumberFormat="1" applyBorder="1" applyAlignment="1" applyProtection="1">
      <alignment horizontal="center" vertical="center"/>
    </xf>
    <xf numFmtId="3" fontId="0" fillId="0" borderId="37" xfId="0" applyNumberFormat="1" applyBorder="1" applyAlignment="1" applyProtection="1">
      <alignment horizontal="center" vertical="center"/>
    </xf>
    <xf numFmtId="3" fontId="0" fillId="0" borderId="29" xfId="0" applyNumberFormat="1" applyBorder="1" applyAlignment="1" applyProtection="1">
      <alignment horizontal="center" vertical="center"/>
    </xf>
    <xf numFmtId="3" fontId="0" fillId="0" borderId="38" xfId="0" applyNumberFormat="1" applyBorder="1" applyAlignment="1" applyProtection="1">
      <alignment horizontal="center" vertical="center"/>
    </xf>
    <xf numFmtId="3" fontId="0" fillId="0" borderId="1" xfId="0" applyNumberFormat="1" applyFill="1" applyBorder="1" applyAlignment="1" applyProtection="1">
      <alignment horizontal="center" vertical="center"/>
    </xf>
    <xf numFmtId="3" fontId="0" fillId="0" borderId="31" xfId="0" applyNumberFormat="1" applyFill="1" applyBorder="1" applyAlignment="1" applyProtection="1">
      <alignment horizontal="center" vertical="center"/>
    </xf>
    <xf numFmtId="3" fontId="0" fillId="0" borderId="37" xfId="0" applyNumberFormat="1" applyFill="1" applyBorder="1" applyAlignment="1" applyProtection="1">
      <alignment horizontal="center" vertical="center"/>
    </xf>
    <xf numFmtId="3" fontId="0" fillId="0" borderId="29" xfId="0" applyNumberFormat="1" applyFill="1" applyBorder="1" applyAlignment="1" applyProtection="1">
      <alignment horizontal="center" vertical="center"/>
    </xf>
    <xf numFmtId="3" fontId="0" fillId="0" borderId="38" xfId="0" applyNumberFormat="1" applyFill="1" applyBorder="1" applyAlignment="1" applyProtection="1">
      <alignment horizontal="center" vertical="center"/>
    </xf>
    <xf numFmtId="166" fontId="0" fillId="0" borderId="17" xfId="0" applyNumberFormat="1" applyBorder="1" applyAlignment="1" applyProtection="1">
      <alignment horizontal="center" vertical="center"/>
    </xf>
    <xf numFmtId="166" fontId="0" fillId="0" borderId="18" xfId="0" applyNumberFormat="1" applyBorder="1" applyAlignment="1" applyProtection="1">
      <alignment horizontal="center" vertical="center"/>
    </xf>
    <xf numFmtId="166" fontId="0" fillId="0" borderId="19" xfId="0" applyNumberFormat="1" applyBorder="1" applyAlignment="1" applyProtection="1">
      <alignment horizontal="center" vertical="center"/>
    </xf>
    <xf numFmtId="166" fontId="0" fillId="0" borderId="1" xfId="0" applyNumberFormat="1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 vertical="center"/>
      <protection locked="0"/>
    </xf>
    <xf numFmtId="166" fontId="0" fillId="0" borderId="11" xfId="0" applyNumberFormat="1" applyBorder="1" applyAlignment="1" applyProtection="1">
      <alignment horizontal="center" vertical="center"/>
    </xf>
    <xf numFmtId="166" fontId="0" fillId="0" borderId="13" xfId="0" applyNumberFormat="1" applyBorder="1" applyAlignment="1" applyProtection="1">
      <alignment horizontal="center" vertical="center"/>
    </xf>
    <xf numFmtId="166" fontId="0" fillId="0" borderId="15" xfId="0" applyNumberFormat="1" applyBorder="1" applyAlignment="1" applyProtection="1">
      <alignment horizontal="center" vertical="center"/>
    </xf>
    <xf numFmtId="166" fontId="0" fillId="4" borderId="13" xfId="0" applyNumberFormat="1" applyFill="1" applyBorder="1" applyAlignment="1" applyProtection="1">
      <alignment horizontal="center" vertical="center"/>
    </xf>
    <xf numFmtId="3" fontId="0" fillId="4" borderId="14" xfId="0" applyNumberFormat="1" applyFill="1" applyBorder="1" applyAlignment="1" applyProtection="1">
      <alignment horizontal="center" vertical="center"/>
    </xf>
    <xf numFmtId="3" fontId="0" fillId="4" borderId="13" xfId="0" applyNumberFormat="1" applyFill="1" applyBorder="1" applyAlignment="1" applyProtection="1">
      <alignment horizontal="center" vertical="center"/>
    </xf>
    <xf numFmtId="3" fontId="0" fillId="4" borderId="19" xfId="0" applyNumberFormat="1" applyFill="1" applyBorder="1" applyAlignment="1" applyProtection="1">
      <alignment horizontal="center" vertical="center"/>
    </xf>
    <xf numFmtId="3" fontId="0" fillId="4" borderId="16" xfId="0" applyNumberFormat="1" applyFill="1" applyBorder="1" applyAlignment="1" applyProtection="1">
      <alignment horizontal="center" vertical="center"/>
    </xf>
    <xf numFmtId="3" fontId="0" fillId="0" borderId="11" xfId="0" applyNumberFormat="1" applyBorder="1" applyAlignment="1" applyProtection="1">
      <alignment horizontal="center" vertical="center"/>
    </xf>
    <xf numFmtId="3" fontId="4" fillId="9" borderId="3" xfId="0" applyNumberFormat="1" applyFont="1" applyFill="1" applyBorder="1" applyAlignment="1" applyProtection="1">
      <alignment vertical="center"/>
    </xf>
    <xf numFmtId="3" fontId="4" fillId="9" borderId="4" xfId="0" applyNumberFormat="1" applyFont="1" applyFill="1" applyBorder="1" applyAlignment="1" applyProtection="1">
      <alignment vertical="center"/>
    </xf>
    <xf numFmtId="3" fontId="0" fillId="0" borderId="34" xfId="0" applyNumberFormat="1" applyFill="1" applyBorder="1" applyAlignment="1" applyProtection="1">
      <alignment horizontal="center" vertical="center"/>
    </xf>
    <xf numFmtId="3" fontId="4" fillId="9" borderId="3" xfId="0" applyNumberFormat="1" applyFont="1" applyFill="1" applyBorder="1" applyAlignment="1" applyProtection="1">
      <alignment horizontal="center" vertical="center"/>
    </xf>
    <xf numFmtId="3" fontId="4" fillId="6" borderId="3" xfId="0" applyNumberFormat="1" applyFont="1" applyFill="1" applyBorder="1" applyAlignment="1" applyProtection="1">
      <alignment horizontal="center" vertical="center"/>
    </xf>
    <xf numFmtId="3" fontId="4" fillId="6" borderId="2" xfId="0" applyNumberFormat="1" applyFont="1" applyFill="1" applyBorder="1" applyAlignment="1" applyProtection="1">
      <alignment vertical="center"/>
    </xf>
    <xf numFmtId="3" fontId="4" fillId="6" borderId="4" xfId="0" applyNumberFormat="1" applyFont="1" applyFill="1" applyBorder="1" applyAlignment="1" applyProtection="1">
      <alignment vertical="center"/>
    </xf>
    <xf numFmtId="3" fontId="0" fillId="0" borderId="39" xfId="0" applyNumberFormat="1" applyFill="1" applyBorder="1" applyAlignment="1" applyProtection="1">
      <alignment horizontal="center" vertical="center"/>
    </xf>
    <xf numFmtId="3" fontId="0" fillId="4" borderId="15" xfId="0" applyNumberFormat="1" applyFill="1" applyBorder="1" applyAlignment="1" applyProtection="1">
      <alignment horizontal="center" vertical="center"/>
    </xf>
    <xf numFmtId="3" fontId="4" fillId="9" borderId="3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12" borderId="1" xfId="3" applyBorder="1" applyAlignment="1">
      <alignment horizontal="center"/>
    </xf>
    <xf numFmtId="166" fontId="0" fillId="0" borderId="1" xfId="0" applyNumberFormat="1" applyBorder="1" applyAlignment="1" applyProtection="1">
      <alignment horizontal="center" vertical="center"/>
      <protection locked="0"/>
    </xf>
    <xf numFmtId="166" fontId="0" fillId="0" borderId="1" xfId="0" applyNumberFormat="1" applyBorder="1"/>
    <xf numFmtId="3" fontId="4" fillId="11" borderId="35" xfId="0" applyNumberFormat="1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>
      <alignment horizontal="center"/>
    </xf>
    <xf numFmtId="3" fontId="0" fillId="0" borderId="33" xfId="0" applyNumberFormat="1" applyFill="1" applyBorder="1" applyAlignment="1" applyProtection="1">
      <alignment horizontal="center" vertical="center"/>
    </xf>
    <xf numFmtId="3" fontId="0" fillId="0" borderId="41" xfId="0" applyNumberFormat="1" applyBorder="1" applyAlignment="1" applyProtection="1">
      <alignment horizontal="center" vertical="center"/>
    </xf>
    <xf numFmtId="3" fontId="0" fillId="0" borderId="35" xfId="0" applyNumberFormat="1" applyBorder="1" applyAlignment="1" applyProtection="1">
      <alignment horizontal="center" vertical="center"/>
    </xf>
    <xf numFmtId="3" fontId="0" fillId="0" borderId="42" xfId="0" applyNumberFormat="1" applyBorder="1" applyAlignment="1" applyProtection="1">
      <alignment horizontal="center" vertical="center"/>
    </xf>
    <xf numFmtId="3" fontId="0" fillId="0" borderId="41" xfId="0" applyNumberFormat="1" applyFill="1" applyBorder="1" applyAlignment="1" applyProtection="1">
      <alignment horizontal="center" vertical="center"/>
    </xf>
    <xf numFmtId="3" fontId="0" fillId="0" borderId="42" xfId="0" applyNumberFormat="1" applyFill="1" applyBorder="1" applyAlignment="1" applyProtection="1">
      <alignment horizontal="center" vertical="center"/>
    </xf>
    <xf numFmtId="3" fontId="0" fillId="0" borderId="35" xfId="0" applyNumberFormat="1" applyFill="1" applyBorder="1" applyAlignment="1" applyProtection="1">
      <alignment horizontal="center" vertical="center"/>
    </xf>
    <xf numFmtId="3" fontId="4" fillId="2" borderId="45" xfId="0" applyNumberFormat="1" applyFont="1" applyFill="1" applyBorder="1" applyAlignment="1" applyProtection="1">
      <alignment horizontal="center" vertical="center"/>
    </xf>
    <xf numFmtId="3" fontId="4" fillId="2" borderId="46" xfId="0" applyNumberFormat="1" applyFont="1" applyFill="1" applyBorder="1" applyAlignment="1" applyProtection="1">
      <alignment horizontal="center" vertical="center"/>
    </xf>
    <xf numFmtId="3" fontId="4" fillId="2" borderId="47" xfId="0" applyNumberFormat="1" applyFont="1" applyFill="1" applyBorder="1" applyAlignment="1" applyProtection="1">
      <alignment horizontal="center" vertical="center"/>
    </xf>
    <xf numFmtId="3" fontId="4" fillId="2" borderId="48" xfId="0" applyNumberFormat="1" applyFont="1" applyFill="1" applyBorder="1" applyAlignment="1" applyProtection="1">
      <alignment horizontal="center" vertical="center"/>
    </xf>
    <xf numFmtId="3" fontId="4" fillId="2" borderId="49" xfId="0" applyNumberFormat="1" applyFont="1" applyFill="1" applyBorder="1" applyAlignment="1" applyProtection="1">
      <alignment horizontal="center" vertical="center"/>
    </xf>
    <xf numFmtId="3" fontId="0" fillId="0" borderId="20" xfId="0" applyNumberFormat="1" applyBorder="1" applyAlignment="1" applyProtection="1">
      <alignment horizontal="center" vertical="center"/>
      <protection locked="0"/>
    </xf>
    <xf numFmtId="3" fontId="0" fillId="0" borderId="21" xfId="0" applyNumberFormat="1" applyBorder="1" applyAlignment="1" applyProtection="1">
      <alignment horizontal="center" vertical="center"/>
      <protection locked="0"/>
    </xf>
    <xf numFmtId="3" fontId="0" fillId="0" borderId="22" xfId="0" applyNumberFormat="1" applyBorder="1" applyAlignment="1" applyProtection="1">
      <alignment horizontal="center" vertical="center"/>
      <protection locked="0"/>
    </xf>
    <xf numFmtId="3" fontId="4" fillId="14" borderId="44" xfId="0" applyNumberFormat="1" applyFont="1" applyFill="1" applyBorder="1" applyAlignment="1" applyProtection="1">
      <alignment horizontal="center" vertical="center"/>
      <protection locked="0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32" xfId="0" applyNumberFormat="1" applyBorder="1" applyAlignment="1" applyProtection="1">
      <alignment horizontal="center" vertical="center"/>
      <protection locked="0"/>
    </xf>
    <xf numFmtId="3" fontId="0" fillId="14" borderId="44" xfId="0" applyNumberFormat="1" applyFill="1" applyBorder="1" applyAlignment="1" applyProtection="1">
      <alignment horizontal="center" vertical="center"/>
      <protection locked="0"/>
    </xf>
    <xf numFmtId="3" fontId="0" fillId="15" borderId="21" xfId="0" applyNumberFormat="1" applyFill="1" applyBorder="1" applyAlignment="1" applyProtection="1">
      <alignment horizontal="center" vertical="center"/>
      <protection locked="0"/>
    </xf>
    <xf numFmtId="3" fontId="0" fillId="15" borderId="0" xfId="0" applyNumberFormat="1" applyFill="1" applyBorder="1" applyAlignment="1" applyProtection="1">
      <alignment horizontal="center" vertical="center"/>
      <protection locked="0"/>
    </xf>
    <xf numFmtId="3" fontId="0" fillId="15" borderId="43" xfId="0" applyNumberFormat="1" applyFill="1" applyBorder="1" applyAlignment="1" applyProtection="1">
      <alignment horizontal="center" vertical="center"/>
      <protection locked="0"/>
    </xf>
    <xf numFmtId="167" fontId="0" fillId="0" borderId="0" xfId="2" applyNumberFormat="1" applyFont="1"/>
    <xf numFmtId="3" fontId="0" fillId="0" borderId="0" xfId="0" applyNumberFormat="1"/>
    <xf numFmtId="3" fontId="3" fillId="5" borderId="50" xfId="0" applyNumberFormat="1" applyFont="1" applyFill="1" applyBorder="1" applyAlignment="1" applyProtection="1">
      <alignment horizontal="center" vertical="center"/>
    </xf>
    <xf numFmtId="3" fontId="4" fillId="2" borderId="1" xfId="0" applyNumberFormat="1" applyFont="1" applyFill="1" applyBorder="1" applyAlignment="1" applyProtection="1">
      <alignment horizontal="center" vertical="center"/>
    </xf>
    <xf numFmtId="166" fontId="0" fillId="0" borderId="1" xfId="0" applyNumberFormat="1" applyBorder="1" applyAlignment="1">
      <alignment horizontal="center"/>
    </xf>
    <xf numFmtId="3" fontId="3" fillId="5" borderId="50" xfId="0" applyNumberFormat="1" applyFont="1" applyFill="1" applyBorder="1" applyAlignment="1" applyProtection="1">
      <alignment horizontal="center" vertical="center" wrapText="1"/>
    </xf>
    <xf numFmtId="168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4" fillId="2" borderId="1" xfId="0" applyNumberFormat="1" applyFont="1" applyFill="1" applyBorder="1" applyAlignment="1" applyProtection="1">
      <alignment horizontal="center" vertical="center"/>
      <protection locked="0"/>
    </xf>
    <xf numFmtId="167" fontId="11" fillId="17" borderId="44" xfId="6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3" fontId="10" fillId="16" borderId="51" xfId="5" applyNumberFormat="1" applyBorder="1" applyAlignment="1" applyProtection="1">
      <alignment horizontal="center" vertical="center"/>
      <protection locked="0"/>
    </xf>
    <xf numFmtId="3" fontId="10" fillId="16" borderId="40" xfId="5" applyNumberFormat="1" applyBorder="1" applyAlignment="1" applyProtection="1">
      <alignment horizontal="center" vertical="center"/>
      <protection locked="0"/>
    </xf>
    <xf numFmtId="168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" fontId="0" fillId="1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12" fillId="4" borderId="29" xfId="0" applyNumberFormat="1" applyFont="1" applyFill="1" applyBorder="1" applyAlignment="1">
      <alignment horizontal="center"/>
    </xf>
    <xf numFmtId="166" fontId="4" fillId="2" borderId="31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2" fillId="19" borderId="1" xfId="7" applyFill="1" applyBorder="1" applyAlignment="1">
      <alignment horizontal="center"/>
    </xf>
    <xf numFmtId="166" fontId="9" fillId="13" borderId="31" xfId="4" applyNumberFormat="1" applyBorder="1" applyAlignment="1">
      <alignment horizontal="center"/>
    </xf>
    <xf numFmtId="166" fontId="9" fillId="13" borderId="1" xfId="4" applyNumberFormat="1" applyBorder="1" applyAlignment="1" applyProtection="1">
      <alignment horizontal="center" vertical="center"/>
      <protection locked="0"/>
    </xf>
    <xf numFmtId="3" fontId="9" fillId="13" borderId="1" xfId="4" applyNumberFormat="1" applyBorder="1" applyAlignment="1" applyProtection="1">
      <alignment horizontal="center" vertical="center"/>
      <protection locked="0"/>
    </xf>
    <xf numFmtId="0" fontId="9" fillId="13" borderId="1" xfId="4" applyBorder="1" applyAlignment="1">
      <alignment horizontal="center"/>
    </xf>
    <xf numFmtId="3" fontId="0" fillId="0" borderId="1" xfId="0" applyNumberFormat="1" applyBorder="1" applyAlignment="1" applyProtection="1">
      <alignment horizontal="center" vertical="center" wrapText="1"/>
    </xf>
    <xf numFmtId="3" fontId="0" fillId="0" borderId="52" xfId="0" applyNumberFormat="1" applyBorder="1" applyAlignment="1" applyProtection="1">
      <alignment horizontal="center" vertical="center" wrapText="1"/>
    </xf>
    <xf numFmtId="3" fontId="0" fillId="0" borderId="18" xfId="0" applyNumberFormat="1" applyFill="1" applyBorder="1" applyAlignment="1" applyProtection="1">
      <alignment horizontal="center" vertical="center" wrapText="1"/>
    </xf>
    <xf numFmtId="3" fontId="0" fillId="0" borderId="52" xfId="0" applyNumberFormat="1" applyFill="1" applyBorder="1" applyAlignment="1" applyProtection="1">
      <alignment horizontal="center" vertical="center" wrapText="1"/>
    </xf>
    <xf numFmtId="3" fontId="0" fillId="0" borderId="35" xfId="0" applyNumberFormat="1" applyFill="1" applyBorder="1" applyAlignment="1" applyProtection="1">
      <alignment horizontal="center" vertical="center" wrapText="1"/>
    </xf>
    <xf numFmtId="3" fontId="0" fillId="0" borderId="52" xfId="0" applyNumberFormat="1" applyFont="1" applyFill="1" applyBorder="1" applyAlignment="1" applyProtection="1">
      <alignment horizontal="center" vertical="center" wrapText="1"/>
    </xf>
    <xf numFmtId="3" fontId="0" fillId="0" borderId="1" xfId="0" applyNumberFormat="1" applyFont="1" applyFill="1" applyBorder="1" applyAlignment="1" applyProtection="1">
      <alignment horizontal="center" vertical="center" wrapText="1"/>
    </xf>
    <xf numFmtId="3" fontId="0" fillId="0" borderId="52" xfId="0" applyNumberFormat="1" applyFont="1" applyFill="1" applyBorder="1" applyAlignment="1" applyProtection="1">
      <alignment horizontal="center" vertical="center" wrapText="1"/>
      <protection locked="0"/>
    </xf>
    <xf numFmtId="3" fontId="0" fillId="0" borderId="35" xfId="0" applyNumberFormat="1" applyFont="1" applyFill="1" applyBorder="1" applyAlignment="1" applyProtection="1">
      <alignment horizontal="center" vertical="center" wrapText="1"/>
      <protection locked="0"/>
    </xf>
    <xf numFmtId="3" fontId="0" fillId="0" borderId="54" xfId="0" applyNumberFormat="1" applyFont="1" applyFill="1" applyBorder="1" applyAlignment="1" applyProtection="1">
      <alignment horizontal="center" vertical="center" wrapText="1"/>
      <protection locked="0"/>
    </xf>
    <xf numFmtId="166" fontId="0" fillId="0" borderId="5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2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166" fontId="0" fillId="0" borderId="18" xfId="0" applyNumberFormat="1" applyBorder="1" applyAlignment="1" applyProtection="1">
      <alignment horizontal="center" vertical="center" wrapText="1"/>
    </xf>
    <xf numFmtId="166" fontId="0" fillId="0" borderId="1" xfId="0" applyNumberFormat="1" applyBorder="1" applyAlignment="1" applyProtection="1">
      <alignment horizontal="center" vertical="center" wrapText="1"/>
    </xf>
    <xf numFmtId="166" fontId="0" fillId="0" borderId="18" xfId="0" applyNumberFormat="1" applyFill="1" applyBorder="1" applyAlignment="1" applyProtection="1">
      <alignment horizontal="center" vertical="center" wrapText="1"/>
    </xf>
    <xf numFmtId="166" fontId="0" fillId="0" borderId="1" xfId="0" applyNumberFormat="1" applyFill="1" applyBorder="1" applyAlignment="1" applyProtection="1">
      <alignment horizontal="center" vertical="center" wrapText="1"/>
    </xf>
    <xf numFmtId="166" fontId="0" fillId="0" borderId="29" xfId="0" applyNumberFormat="1" applyFill="1" applyBorder="1" applyAlignment="1" applyProtection="1">
      <alignment horizontal="center" vertical="center" wrapText="1"/>
    </xf>
    <xf numFmtId="166" fontId="0" fillId="0" borderId="1" xfId="0" applyNumberFormat="1" applyFont="1" applyFill="1" applyBorder="1" applyAlignment="1" applyProtection="1">
      <alignment horizontal="center" vertical="center" wrapText="1"/>
    </xf>
    <xf numFmtId="166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166" fontId="0" fillId="0" borderId="31" xfId="0" applyNumberFormat="1" applyFont="1" applyFill="1" applyBorder="1" applyAlignment="1" applyProtection="1">
      <alignment horizontal="center" vertical="center" wrapText="1"/>
      <protection locked="0"/>
    </xf>
    <xf numFmtId="166" fontId="0" fillId="0" borderId="1" xfId="0" applyNumberFormat="1" applyBorder="1" applyAlignment="1">
      <alignment wrapText="1"/>
    </xf>
    <xf numFmtId="166" fontId="0" fillId="0" borderId="29" xfId="0" applyNumberFormat="1" applyBorder="1" applyAlignment="1">
      <alignment wrapText="1"/>
    </xf>
    <xf numFmtId="0" fontId="0" fillId="0" borderId="1" xfId="0" applyBorder="1" applyAlignment="1">
      <alignment horizontal="center"/>
    </xf>
    <xf numFmtId="166" fontId="0" fillId="0" borderId="0" xfId="0" applyNumberFormat="1"/>
    <xf numFmtId="3" fontId="0" fillId="0" borderId="17" xfId="0" applyNumberFormat="1" applyFill="1" applyBorder="1" applyAlignment="1" applyProtection="1">
      <alignment horizontal="center" vertical="center" wrapText="1"/>
    </xf>
    <xf numFmtId="3" fontId="0" fillId="0" borderId="53" xfId="0" applyNumberFormat="1" applyFill="1" applyBorder="1" applyAlignment="1" applyProtection="1">
      <alignment horizontal="center" vertical="center" wrapText="1"/>
    </xf>
    <xf numFmtId="3" fontId="0" fillId="0" borderId="18" xfId="0" applyNumberFormat="1" applyFont="1" applyFill="1" applyBorder="1" applyAlignment="1" applyProtection="1">
      <alignment horizontal="center" vertical="center" wrapText="1"/>
    </xf>
    <xf numFmtId="166" fontId="0" fillId="0" borderId="53" xfId="0" applyNumberFormat="1" applyFont="1" applyFill="1" applyBorder="1" applyAlignment="1" applyProtection="1">
      <alignment horizontal="center" vertical="center" wrapText="1"/>
    </xf>
    <xf numFmtId="166" fontId="0" fillId="0" borderId="17" xfId="0" applyNumberFormat="1" applyFill="1" applyBorder="1" applyAlignment="1" applyProtection="1">
      <alignment horizontal="center" vertical="center" wrapText="1"/>
    </xf>
    <xf numFmtId="166" fontId="0" fillId="0" borderId="31" xfId="0" applyNumberFormat="1" applyBorder="1" applyAlignment="1">
      <alignment wrapText="1"/>
    </xf>
    <xf numFmtId="166" fontId="0" fillId="0" borderId="31" xfId="0" applyNumberFormat="1" applyBorder="1" applyAlignment="1" applyProtection="1">
      <alignment horizontal="center" vertical="center" wrapText="1"/>
    </xf>
    <xf numFmtId="166" fontId="0" fillId="0" borderId="31" xfId="0" applyNumberFormat="1" applyFont="1" applyFill="1" applyBorder="1" applyAlignment="1" applyProtection="1">
      <alignment horizontal="center" vertical="center" wrapText="1"/>
    </xf>
    <xf numFmtId="166" fontId="0" fillId="0" borderId="29" xfId="0" applyNumberFormat="1" applyFont="1" applyFill="1" applyBorder="1" applyAlignment="1" applyProtection="1">
      <alignment horizontal="center" vertical="center" wrapText="1"/>
    </xf>
    <xf numFmtId="0" fontId="0" fillId="0" borderId="55" xfId="0" applyBorder="1"/>
    <xf numFmtId="3" fontId="0" fillId="0" borderId="54" xfId="0" applyNumberFormat="1" applyBorder="1" applyAlignment="1" applyProtection="1">
      <alignment horizontal="center" vertical="center" wrapText="1"/>
    </xf>
    <xf numFmtId="3" fontId="0" fillId="0" borderId="35" xfId="0" applyNumberFormat="1" applyBorder="1" applyAlignment="1" applyProtection="1">
      <alignment horizontal="center" vertical="center" wrapText="1"/>
    </xf>
    <xf numFmtId="3" fontId="0" fillId="0" borderId="54" xfId="0" applyNumberFormat="1" applyFont="1" applyFill="1" applyBorder="1" applyAlignment="1" applyProtection="1">
      <alignment horizontal="center" vertical="center" wrapText="1"/>
    </xf>
    <xf numFmtId="3" fontId="0" fillId="0" borderId="55" xfId="0" applyNumberFormat="1" applyFont="1" applyFill="1" applyBorder="1" applyAlignment="1" applyProtection="1">
      <alignment horizontal="center" vertical="center" wrapText="1"/>
    </xf>
    <xf numFmtId="3" fontId="3" fillId="5" borderId="57" xfId="0" applyNumberFormat="1" applyFont="1" applyFill="1" applyBorder="1" applyAlignment="1" applyProtection="1">
      <alignment horizontal="center" vertical="center" wrapText="1"/>
    </xf>
    <xf numFmtId="3" fontId="3" fillId="5" borderId="58" xfId="0" applyNumberFormat="1" applyFont="1" applyFill="1" applyBorder="1" applyAlignment="1" applyProtection="1">
      <alignment horizontal="center" vertical="center" wrapText="1"/>
    </xf>
    <xf numFmtId="3" fontId="3" fillId="5" borderId="59" xfId="0" applyNumberFormat="1" applyFont="1" applyFill="1" applyBorder="1" applyAlignment="1" applyProtection="1">
      <alignment horizontal="center" vertical="center" wrapText="1"/>
    </xf>
    <xf numFmtId="3" fontId="3" fillId="5" borderId="8" xfId="0" applyNumberFormat="1" applyFont="1" applyFill="1" applyBorder="1" applyAlignment="1" applyProtection="1">
      <alignment horizontal="center" vertical="center" wrapText="1"/>
    </xf>
    <xf numFmtId="0" fontId="0" fillId="0" borderId="29" xfId="0" applyBorder="1" applyAlignment="1">
      <alignment horizontal="center" wrapText="1"/>
    </xf>
    <xf numFmtId="3" fontId="0" fillId="0" borderId="53" xfId="0" applyNumberFormat="1" applyFont="1" applyFill="1" applyBorder="1" applyAlignment="1" applyProtection="1">
      <alignment horizontal="center" vertical="center" wrapText="1"/>
    </xf>
    <xf numFmtId="3" fontId="3" fillId="5" borderId="56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19" borderId="1" xfId="7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3" fontId="4" fillId="11" borderId="1" xfId="0" applyNumberFormat="1" applyFont="1" applyFill="1" applyBorder="1" applyAlignment="1" applyProtection="1">
      <alignment horizontal="center" vertical="center"/>
    </xf>
    <xf numFmtId="0" fontId="4" fillId="11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16" fillId="4" borderId="29" xfId="4" applyNumberFormat="1" applyFont="1" applyFill="1" applyBorder="1" applyAlignment="1">
      <alignment horizontal="center"/>
    </xf>
    <xf numFmtId="3" fontId="15" fillId="4" borderId="29" xfId="0" applyNumberFormat="1" applyFont="1" applyFill="1" applyBorder="1" applyAlignment="1">
      <alignment horizontal="center"/>
    </xf>
    <xf numFmtId="0" fontId="15" fillId="4" borderId="29" xfId="0" applyFont="1" applyFill="1" applyBorder="1" applyAlignment="1">
      <alignment horizontal="center"/>
    </xf>
    <xf numFmtId="3" fontId="16" fillId="13" borderId="1" xfId="4" applyNumberFormat="1" applyFont="1" applyBorder="1" applyAlignment="1" applyProtection="1">
      <alignment horizontal="center" vertical="center"/>
      <protection locked="0"/>
    </xf>
    <xf numFmtId="166" fontId="17" fillId="13" borderId="1" xfId="4" applyNumberFormat="1" applyFont="1" applyBorder="1" applyAlignment="1" applyProtection="1">
      <alignment horizontal="center" vertical="center"/>
      <protection locked="0"/>
    </xf>
    <xf numFmtId="166" fontId="16" fillId="13" borderId="1" xfId="4" applyNumberFormat="1" applyFont="1" applyBorder="1" applyAlignment="1" applyProtection="1">
      <alignment horizontal="center" vertical="center"/>
      <protection locked="0"/>
    </xf>
    <xf numFmtId="166" fontId="15" fillId="0" borderId="11" xfId="0" applyNumberFormat="1" applyFont="1" applyBorder="1" applyAlignment="1" applyProtection="1">
      <alignment horizontal="center" vertical="center"/>
    </xf>
    <xf numFmtId="3" fontId="4" fillId="11" borderId="1" xfId="0" applyNumberFormat="1" applyFont="1" applyFill="1" applyBorder="1" applyAlignment="1" applyProtection="1">
      <alignment horizontal="center" vertical="center"/>
      <protection locked="0"/>
    </xf>
    <xf numFmtId="167" fontId="0" fillId="0" borderId="1" xfId="2" applyNumberFormat="1" applyFont="1" applyBorder="1" applyAlignment="1">
      <alignment horizontal="center"/>
    </xf>
    <xf numFmtId="3" fontId="4" fillId="11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11" borderId="24" xfId="0" applyNumberFormat="1" applyFont="1" applyFill="1" applyBorder="1" applyAlignment="1" applyProtection="1">
      <alignment horizontal="center" vertical="center"/>
      <protection locked="0"/>
    </xf>
    <xf numFmtId="3" fontId="4" fillId="19" borderId="1" xfId="0" applyNumberFormat="1" applyFont="1" applyFill="1" applyBorder="1" applyAlignment="1" applyProtection="1">
      <alignment horizontal="center" vertical="center"/>
      <protection locked="0"/>
    </xf>
    <xf numFmtId="3" fontId="4" fillId="11" borderId="25" xfId="0" applyNumberFormat="1" applyFont="1" applyFill="1" applyBorder="1" applyAlignment="1" applyProtection="1">
      <alignment horizontal="center" vertical="center"/>
      <protection locked="0"/>
    </xf>
    <xf numFmtId="0" fontId="4" fillId="10" borderId="0" xfId="0" applyFont="1" applyFill="1" applyAlignment="1">
      <alignment horizontal="center"/>
    </xf>
    <xf numFmtId="0" fontId="4" fillId="10" borderId="40" xfId="0" applyFont="1" applyFill="1" applyBorder="1" applyAlignment="1">
      <alignment horizontal="center"/>
    </xf>
    <xf numFmtId="3" fontId="4" fillId="11" borderId="23" xfId="0" applyNumberFormat="1" applyFont="1" applyFill="1" applyBorder="1" applyAlignment="1" applyProtection="1">
      <alignment horizontal="center" vertical="center"/>
      <protection locked="0"/>
    </xf>
    <xf numFmtId="3" fontId="4" fillId="11" borderId="0" xfId="0" applyNumberFormat="1" applyFont="1" applyFill="1" applyBorder="1" applyAlignment="1" applyProtection="1">
      <alignment horizontal="center" vertical="center"/>
      <protection locked="0"/>
    </xf>
    <xf numFmtId="3" fontId="8" fillId="12" borderId="1" xfId="3" applyNumberForma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8" xfId="0" applyBorder="1" applyAlignment="1">
      <alignment horizontal="center"/>
    </xf>
    <xf numFmtId="0" fontId="13" fillId="21" borderId="51" xfId="0" applyFont="1" applyFill="1" applyBorder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0" fontId="13" fillId="21" borderId="54" xfId="0" applyFont="1" applyFill="1" applyBorder="1" applyAlignment="1">
      <alignment horizontal="center" vertical="center"/>
    </xf>
    <xf numFmtId="0" fontId="13" fillId="21" borderId="4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52" xfId="0" applyBorder="1" applyAlignment="1">
      <alignment horizontal="center"/>
    </xf>
    <xf numFmtId="3" fontId="5" fillId="7" borderId="7" xfId="0" applyNumberFormat="1" applyFont="1" applyFill="1" applyBorder="1" applyAlignment="1" applyProtection="1">
      <alignment horizontal="center" vertical="center"/>
      <protection locked="0"/>
    </xf>
    <xf numFmtId="3" fontId="5" fillId="7" borderId="8" xfId="0" applyNumberFormat="1" applyFont="1" applyFill="1" applyBorder="1" applyAlignment="1" applyProtection="1">
      <alignment horizontal="center" vertical="center"/>
      <protection locked="0"/>
    </xf>
    <xf numFmtId="3" fontId="5" fillId="7" borderId="5" xfId="0" applyNumberFormat="1" applyFont="1" applyFill="1" applyBorder="1" applyAlignment="1" applyProtection="1">
      <alignment horizontal="center" vertical="center"/>
    </xf>
    <xf numFmtId="3" fontId="5" fillId="7" borderId="6" xfId="0" applyNumberFormat="1" applyFont="1" applyFill="1" applyBorder="1" applyAlignment="1" applyProtection="1">
      <alignment horizontal="center" vertical="center"/>
    </xf>
    <xf numFmtId="3" fontId="6" fillId="5" borderId="2" xfId="0" applyNumberFormat="1" applyFont="1" applyFill="1" applyBorder="1" applyAlignment="1" applyProtection="1">
      <alignment horizontal="center" vertical="center"/>
    </xf>
    <xf numFmtId="3" fontId="6" fillId="5" borderId="3" xfId="0" applyNumberFormat="1" applyFont="1" applyFill="1" applyBorder="1" applyAlignment="1" applyProtection="1">
      <alignment horizontal="center" vertical="center"/>
    </xf>
    <xf numFmtId="3" fontId="6" fillId="5" borderId="4" xfId="0" applyNumberFormat="1" applyFont="1" applyFill="1" applyBorder="1" applyAlignment="1" applyProtection="1">
      <alignment horizontal="center" vertical="center"/>
    </xf>
    <xf numFmtId="0" fontId="0" fillId="0" borderId="2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</cellXfs>
  <cellStyles count="8">
    <cellStyle name="20% - Accent6" xfId="7" builtinId="50"/>
    <cellStyle name="60% - Accent6" xfId="6" builtinId="52"/>
    <cellStyle name="Bad" xfId="5" builtinId="27"/>
    <cellStyle name="Currency" xfId="2" builtinId="4"/>
    <cellStyle name="Currency [0]" xfId="1" builtinId="7"/>
    <cellStyle name="Good" xfId="4" builtinId="26"/>
    <cellStyle name="Neutral" xfId="3" builtinId="28"/>
    <cellStyle name="Normal" xfId="0" builtinId="0"/>
  </cellStyles>
  <dxfs count="58">
    <dxf>
      <alignment horizontal="center" textRotation="0" indent="0" justifyLastLine="0" shrinkToFit="0" readingOrder="0"/>
      <border outline="0">
        <left style="thin">
          <color auto="1"/>
        </left>
      </border>
    </dxf>
    <dxf>
      <alignment horizontal="center" textRotation="0" indent="0" justifyLastLine="0" shrinkToFit="0" readingOrder="0"/>
      <border outline="0">
        <right style="thin">
          <color auto="1"/>
        </right>
      </border>
    </dxf>
    <dxf>
      <border outline="0">
        <right style="thin">
          <color auto="1"/>
        </right>
      </border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border outline="0">
        <top style="medium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" formatCode="#,##0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389194</xdr:colOff>
      <xdr:row>0</xdr:row>
      <xdr:rowOff>122903</xdr:rowOff>
    </xdr:from>
    <xdr:to>
      <xdr:col>2</xdr:col>
      <xdr:colOff>833011</xdr:colOff>
      <xdr:row>5</xdr:row>
      <xdr:rowOff>97086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3FE21F-B2E5-4365-A2A3-72B991B90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904" y="122903"/>
          <a:ext cx="1256344" cy="964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660400</xdr:colOff>
      <xdr:row>13</xdr:row>
      <xdr:rowOff>76200</xdr:rowOff>
    </xdr:from>
    <xdr:to>
      <xdr:col>7</xdr:col>
      <xdr:colOff>749300</xdr:colOff>
      <xdr:row>15</xdr:row>
      <xdr:rowOff>139700</xdr:rowOff>
    </xdr:to>
    <xdr:sp macro="" textlink="">
      <xdr:nvSpPr>
        <xdr:cNvPr id="7169" name="AbrirForm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00000000-0008-0000-0500-000001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9</xdr:row>
      <xdr:rowOff>101600</xdr:rowOff>
    </xdr:from>
    <xdr:to>
      <xdr:col>7</xdr:col>
      <xdr:colOff>723900</xdr:colOff>
      <xdr:row>12</xdr:row>
      <xdr:rowOff>25400</xdr:rowOff>
    </xdr:to>
    <xdr:sp macro="" textlink="">
      <xdr:nvSpPr>
        <xdr:cNvPr id="7170" name="CommandButton1" hidden="1">
          <a:extLst>
            <a:ext uri="{63B3BB69-23CF-44E3-9099-C40C66FF867C}">
              <a14:compatExt xmlns:a14="http://schemas.microsoft.com/office/drawing/2010/main" spid="_x0000_s7170"/>
            </a:ext>
            <a:ext uri="{FF2B5EF4-FFF2-40B4-BE49-F238E27FC236}">
              <a16:creationId xmlns:a16="http://schemas.microsoft.com/office/drawing/2014/main" id="{00000000-0008-0000-0500-0000021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330200</xdr:colOff>
      <xdr:row>13</xdr:row>
      <xdr:rowOff>38100</xdr:rowOff>
    </xdr:from>
    <xdr:to>
      <xdr:col>7</xdr:col>
      <xdr:colOff>374650</xdr:colOff>
      <xdr:row>15</xdr:row>
      <xdr:rowOff>69850</xdr:rowOff>
    </xdr:to>
    <xdr:pic>
      <xdr:nvPicPr>
        <xdr:cNvPr id="2" name="AbrirForm">
          <a:extLst>
            <a:ext uri="{FF2B5EF4-FFF2-40B4-BE49-F238E27FC236}">
              <a16:creationId xmlns:a16="http://schemas.microsoft.com/office/drawing/2014/main" id="{C65E6BB6-B009-438D-B204-79AEBB444B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600" y="2794000"/>
          <a:ext cx="1670050" cy="4254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323850</xdr:colOff>
      <xdr:row>9</xdr:row>
      <xdr:rowOff>50800</xdr:rowOff>
    </xdr:from>
    <xdr:to>
      <xdr:col>7</xdr:col>
      <xdr:colOff>361950</xdr:colOff>
      <xdr:row>12</xdr:row>
      <xdr:rowOff>12700</xdr:rowOff>
    </xdr:to>
    <xdr:pic>
      <xdr:nvPicPr>
        <xdr:cNvPr id="3" name="CommandButton1">
          <a:extLst>
            <a:ext uri="{FF2B5EF4-FFF2-40B4-BE49-F238E27FC236}">
              <a16:creationId xmlns:a16="http://schemas.microsoft.com/office/drawing/2014/main" id="{F5F8051A-2F3F-4B47-9C03-BA44AABF53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250" y="2019300"/>
          <a:ext cx="1663700" cy="5524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279514</xdr:colOff>
      <xdr:row>0</xdr:row>
      <xdr:rowOff>23092</xdr:rowOff>
    </xdr:from>
    <xdr:to>
      <xdr:col>1</xdr:col>
      <xdr:colOff>1281545</xdr:colOff>
      <xdr:row>2</xdr:row>
      <xdr:rowOff>233569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29CC6B-298A-404B-8E95-77557B390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469" y="23092"/>
          <a:ext cx="1002031" cy="73002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I35" totalsRowShown="0" headerRowDxfId="7" tableBorderDxfId="6">
  <autoFilter ref="B5:I3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Insumo" dataDxfId="5"/>
    <tableColumn id="2" xr3:uid="{00000000-0010-0000-0000-000002000000}" name="Inventario Inicial" dataDxfId="4"/>
    <tableColumn id="3" xr3:uid="{00000000-0010-0000-0000-000003000000}" name="Unidad "/>
    <tableColumn id="4" xr3:uid="{00000000-0010-0000-0000-000004000000}" name="Cantidad Requerida"/>
    <tableColumn id="5" xr3:uid="{00000000-0010-0000-0000-000005000000}" name="Inventario Final" dataDxfId="3">
      <calculatedColumnFormula>+Tabla1[[#This Row],[Inventario Inicial]]-Tabla1[[#This Row],[Cantidad Requerida]]</calculatedColumnFormula>
    </tableColumn>
    <tableColumn id="6" xr3:uid="{00000000-0010-0000-0000-000006000000}" name="Almacenamiento max" dataDxfId="2"/>
    <tableColumn id="7" xr3:uid="{00000000-0010-0000-0000-000007000000}" name="Tiempo de entrega (Días)" dataDxfId="1"/>
    <tableColumn id="8" xr3:uid="{00000000-0010-0000-0000-000008000000}" name="Re Orden 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2:I20"/>
  <sheetViews>
    <sheetView showGridLines="0" zoomScale="174" workbookViewId="0">
      <selection activeCell="D5" sqref="D5"/>
    </sheetView>
  </sheetViews>
  <sheetFormatPr baseColWidth="10" defaultRowHeight="16" x14ac:dyDescent="0.2"/>
  <cols>
    <col min="2" max="2" width="10.83203125" style="1"/>
    <col min="3" max="3" width="19" bestFit="1" customWidth="1"/>
  </cols>
  <sheetData>
    <row r="2" spans="2:9" x14ac:dyDescent="0.2">
      <c r="D2" s="33" t="s">
        <v>17</v>
      </c>
      <c r="E2" s="33" t="s">
        <v>18</v>
      </c>
      <c r="F2" s="33" t="s">
        <v>19</v>
      </c>
      <c r="I2" t="s">
        <v>29</v>
      </c>
    </row>
    <row r="3" spans="2:9" x14ac:dyDescent="0.2">
      <c r="C3" s="37" t="s">
        <v>0</v>
      </c>
      <c r="D3" s="33">
        <v>142</v>
      </c>
      <c r="E3" s="33">
        <v>146</v>
      </c>
      <c r="F3" s="33">
        <v>150</v>
      </c>
    </row>
    <row r="4" spans="2:9" ht="17" thickBot="1" x14ac:dyDescent="0.25"/>
    <row r="5" spans="2:9" x14ac:dyDescent="0.2">
      <c r="C5" s="38" t="s">
        <v>1</v>
      </c>
      <c r="D5" s="39">
        <v>9</v>
      </c>
      <c r="E5" s="40" t="s">
        <v>20</v>
      </c>
    </row>
    <row r="6" spans="2:9" x14ac:dyDescent="0.2">
      <c r="C6" s="41" t="s">
        <v>2</v>
      </c>
      <c r="D6" s="33">
        <v>5000</v>
      </c>
      <c r="E6" s="42" t="s">
        <v>21</v>
      </c>
    </row>
    <row r="7" spans="2:9" x14ac:dyDescent="0.2">
      <c r="C7" s="41" t="s">
        <v>3</v>
      </c>
      <c r="D7" s="33">
        <v>3.5</v>
      </c>
      <c r="E7" s="42" t="s">
        <v>20</v>
      </c>
    </row>
    <row r="8" spans="2:9" x14ac:dyDescent="0.2">
      <c r="C8" s="41" t="s">
        <v>4</v>
      </c>
      <c r="D8" s="33">
        <v>0.6</v>
      </c>
      <c r="E8" s="42" t="s">
        <v>22</v>
      </c>
    </row>
    <row r="9" spans="2:9" x14ac:dyDescent="0.2">
      <c r="C9" s="41" t="s">
        <v>5</v>
      </c>
      <c r="D9" s="33">
        <f>55/30</f>
        <v>1.8333333333333333</v>
      </c>
      <c r="E9" s="42" t="s">
        <v>23</v>
      </c>
    </row>
    <row r="10" spans="2:9" x14ac:dyDescent="0.2">
      <c r="C10" s="43" t="s">
        <v>6</v>
      </c>
      <c r="D10" s="33">
        <v>21</v>
      </c>
      <c r="E10" s="42" t="s">
        <v>21</v>
      </c>
    </row>
    <row r="11" spans="2:9" x14ac:dyDescent="0.2">
      <c r="C11" s="43" t="s">
        <v>7</v>
      </c>
      <c r="D11" s="33">
        <v>21</v>
      </c>
      <c r="E11" s="42" t="s">
        <v>21</v>
      </c>
    </row>
    <row r="12" spans="2:9" x14ac:dyDescent="0.2">
      <c r="C12" s="44" t="s">
        <v>8</v>
      </c>
      <c r="D12" s="33">
        <v>150</v>
      </c>
      <c r="E12" s="42" t="s">
        <v>24</v>
      </c>
    </row>
    <row r="13" spans="2:9" x14ac:dyDescent="0.2">
      <c r="C13" s="44" t="s">
        <v>9</v>
      </c>
      <c r="D13" s="33">
        <v>150</v>
      </c>
      <c r="E13" s="42" t="s">
        <v>24</v>
      </c>
    </row>
    <row r="14" spans="2:9" x14ac:dyDescent="0.2">
      <c r="C14" s="44" t="s">
        <v>10</v>
      </c>
      <c r="D14" s="33">
        <v>155</v>
      </c>
      <c r="E14" s="42" t="s">
        <v>24</v>
      </c>
    </row>
    <row r="15" spans="2:9" x14ac:dyDescent="0.2">
      <c r="B15" s="1">
        <v>530</v>
      </c>
      <c r="C15" s="44" t="s">
        <v>11</v>
      </c>
      <c r="D15" s="33">
        <f>150/12</f>
        <v>12.5</v>
      </c>
      <c r="E15" s="42" t="s">
        <v>24</v>
      </c>
      <c r="G15" t="s">
        <v>33</v>
      </c>
    </row>
    <row r="16" spans="2:9" x14ac:dyDescent="0.2">
      <c r="C16" s="44" t="s">
        <v>12</v>
      </c>
      <c r="D16" s="33">
        <f>1/((150*12)/150)</f>
        <v>8.3333333333333329E-2</v>
      </c>
      <c r="E16" s="42" t="s">
        <v>25</v>
      </c>
    </row>
    <row r="17" spans="2:5" ht="17" thickBot="1" x14ac:dyDescent="0.25">
      <c r="C17" s="45" t="s">
        <v>13</v>
      </c>
      <c r="D17" s="46"/>
      <c r="E17" s="47"/>
    </row>
    <row r="18" spans="2:5" x14ac:dyDescent="0.2">
      <c r="C18" t="s">
        <v>14</v>
      </c>
      <c r="E18" t="s">
        <v>27</v>
      </c>
    </row>
    <row r="19" spans="2:5" x14ac:dyDescent="0.2">
      <c r="B19" s="1">
        <v>88000</v>
      </c>
      <c r="C19" t="s">
        <v>15</v>
      </c>
    </row>
    <row r="20" spans="2:5" x14ac:dyDescent="0.2">
      <c r="C20" t="s">
        <v>16</v>
      </c>
      <c r="E20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B2:I17"/>
  <sheetViews>
    <sheetView workbookViewId="0">
      <selection activeCell="D5" sqref="D5"/>
    </sheetView>
  </sheetViews>
  <sheetFormatPr baseColWidth="10" defaultRowHeight="16" x14ac:dyDescent="0.2"/>
  <cols>
    <col min="2" max="2" width="10.83203125" style="1"/>
    <col min="3" max="3" width="19" bestFit="1" customWidth="1"/>
  </cols>
  <sheetData>
    <row r="2" spans="2:9" x14ac:dyDescent="0.2">
      <c r="D2" s="33" t="s">
        <v>17</v>
      </c>
      <c r="E2" s="33" t="s">
        <v>18</v>
      </c>
      <c r="F2" s="33" t="s">
        <v>19</v>
      </c>
      <c r="I2" t="s">
        <v>29</v>
      </c>
    </row>
    <row r="3" spans="2:9" x14ac:dyDescent="0.2">
      <c r="C3" t="s">
        <v>46</v>
      </c>
      <c r="D3" s="33">
        <v>200</v>
      </c>
      <c r="E3" s="33">
        <f>+(D3+F3)/2</f>
        <v>210</v>
      </c>
      <c r="F3" s="33">
        <v>220</v>
      </c>
    </row>
    <row r="5" spans="2:9" x14ac:dyDescent="0.2">
      <c r="C5" s="34" t="s">
        <v>1</v>
      </c>
      <c r="D5" s="33">
        <v>15</v>
      </c>
      <c r="E5" s="33" t="s">
        <v>20</v>
      </c>
    </row>
    <row r="6" spans="2:9" x14ac:dyDescent="0.2">
      <c r="C6" s="34" t="s">
        <v>2</v>
      </c>
      <c r="D6" s="33">
        <v>5000</v>
      </c>
      <c r="E6" s="33" t="s">
        <v>21</v>
      </c>
    </row>
    <row r="7" spans="2:9" x14ac:dyDescent="0.2">
      <c r="C7" s="34" t="s">
        <v>47</v>
      </c>
      <c r="D7" s="33">
        <v>3</v>
      </c>
      <c r="E7" s="33" t="s">
        <v>22</v>
      </c>
    </row>
    <row r="8" spans="2:9" x14ac:dyDescent="0.2">
      <c r="C8" s="34" t="s">
        <v>4</v>
      </c>
      <c r="D8" s="33">
        <v>2.2000000000000002</v>
      </c>
      <c r="E8" s="33" t="s">
        <v>22</v>
      </c>
    </row>
    <row r="9" spans="2:9" x14ac:dyDescent="0.2">
      <c r="C9" s="34" t="s">
        <v>48</v>
      </c>
      <c r="D9" s="33">
        <v>50</v>
      </c>
      <c r="E9" s="33" t="s">
        <v>21</v>
      </c>
    </row>
    <row r="10" spans="2:9" x14ac:dyDescent="0.2">
      <c r="C10" s="35" t="s">
        <v>6</v>
      </c>
      <c r="D10" s="33">
        <v>28</v>
      </c>
      <c r="E10" s="33" t="s">
        <v>21</v>
      </c>
    </row>
    <row r="11" spans="2:9" x14ac:dyDescent="0.2">
      <c r="C11" s="35" t="s">
        <v>7</v>
      </c>
      <c r="D11" s="33">
        <v>28</v>
      </c>
      <c r="E11" s="33" t="s">
        <v>21</v>
      </c>
    </row>
    <row r="12" spans="2:9" x14ac:dyDescent="0.2">
      <c r="C12" s="36" t="s">
        <v>49</v>
      </c>
      <c r="D12" s="33">
        <f>+F3</f>
        <v>220</v>
      </c>
      <c r="E12" s="33" t="s">
        <v>24</v>
      </c>
    </row>
    <row r="13" spans="2:9" x14ac:dyDescent="0.2">
      <c r="C13" s="36" t="s">
        <v>50</v>
      </c>
      <c r="D13" s="33">
        <v>225</v>
      </c>
      <c r="E13" s="33" t="s">
        <v>24</v>
      </c>
    </row>
    <row r="14" spans="2:9" x14ac:dyDescent="0.2">
      <c r="B14" s="1">
        <v>530</v>
      </c>
      <c r="C14" s="36" t="s">
        <v>11</v>
      </c>
      <c r="D14" s="33">
        <f>F3/12</f>
        <v>18.333333333333332</v>
      </c>
      <c r="E14" s="33" t="s">
        <v>24</v>
      </c>
      <c r="G14" t="s">
        <v>33</v>
      </c>
    </row>
    <row r="15" spans="2:9" x14ac:dyDescent="0.2">
      <c r="C15" s="36" t="s">
        <v>12</v>
      </c>
      <c r="D15" s="48">
        <f>1/((150*12)/150)</f>
        <v>8.3333333333333329E-2</v>
      </c>
      <c r="E15" s="33" t="s">
        <v>25</v>
      </c>
    </row>
    <row r="16" spans="2:9" x14ac:dyDescent="0.2">
      <c r="C16" s="36" t="s">
        <v>16</v>
      </c>
      <c r="D16" s="33"/>
      <c r="E16" s="33" t="s">
        <v>28</v>
      </c>
    </row>
    <row r="17" spans="2:2" x14ac:dyDescent="0.2">
      <c r="B17" s="1">
        <v>88000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pageSetUpPr fitToPage="1"/>
  </sheetPr>
  <dimension ref="A1:Z67"/>
  <sheetViews>
    <sheetView showGridLines="0" tabSelected="1" topLeftCell="A3" zoomScale="118" zoomScaleNormal="100" workbookViewId="0">
      <pane xSplit="3" topLeftCell="D1" activePane="topRight" state="frozen"/>
      <selection pane="topRight" activeCell="E23" sqref="E23"/>
    </sheetView>
  </sheetViews>
  <sheetFormatPr baseColWidth="10" defaultColWidth="0" defaultRowHeight="16" x14ac:dyDescent="0.2"/>
  <cols>
    <col min="1" max="1" width="4.83203125" customWidth="1"/>
    <col min="2" max="2" width="10.6640625" customWidth="1"/>
    <col min="3" max="3" width="16.33203125" bestFit="1" customWidth="1"/>
    <col min="4" max="21" width="9.33203125" customWidth="1"/>
    <col min="22" max="22" width="15.1640625" bestFit="1" customWidth="1"/>
    <col min="23" max="26" width="0" hidden="1" customWidth="1"/>
    <col min="27" max="16384" width="10.6640625" hidden="1"/>
  </cols>
  <sheetData>
    <row r="1" spans="2:22" x14ac:dyDescent="0.2">
      <c r="B1" s="220"/>
      <c r="C1" s="221"/>
      <c r="D1" s="226" t="s">
        <v>116</v>
      </c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31" t="s">
        <v>119</v>
      </c>
      <c r="S1" s="231"/>
      <c r="T1" s="231"/>
      <c r="U1" s="231"/>
    </row>
    <row r="2" spans="2:22" x14ac:dyDescent="0.2">
      <c r="B2" s="222"/>
      <c r="C2" s="223"/>
      <c r="D2" s="226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31"/>
      <c r="S2" s="231"/>
      <c r="T2" s="231"/>
      <c r="U2" s="231"/>
    </row>
    <row r="3" spans="2:22" x14ac:dyDescent="0.2">
      <c r="B3" s="222"/>
      <c r="C3" s="223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31"/>
      <c r="S3" s="231"/>
      <c r="T3" s="231"/>
      <c r="U3" s="231"/>
    </row>
    <row r="4" spans="2:22" x14ac:dyDescent="0.2">
      <c r="B4" s="222"/>
      <c r="C4" s="223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31" t="s">
        <v>118</v>
      </c>
      <c r="S4" s="231"/>
      <c r="T4" s="233">
        <v>43699</v>
      </c>
      <c r="U4" s="231"/>
    </row>
    <row r="5" spans="2:22" x14ac:dyDescent="0.2">
      <c r="B5" s="222"/>
      <c r="C5" s="223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31"/>
      <c r="S5" s="231"/>
      <c r="T5" s="231"/>
      <c r="U5" s="231"/>
    </row>
    <row r="6" spans="2:22" x14ac:dyDescent="0.2">
      <c r="B6" s="224"/>
      <c r="C6" s="225"/>
      <c r="D6" s="228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 t="s">
        <v>117</v>
      </c>
      <c r="S6" s="230"/>
      <c r="T6" s="234">
        <v>1</v>
      </c>
      <c r="U6" s="235"/>
    </row>
    <row r="8" spans="2:22" x14ac:dyDescent="0.2">
      <c r="B8" s="218" t="s">
        <v>67</v>
      </c>
      <c r="C8" s="219"/>
      <c r="D8" s="207" t="s">
        <v>59</v>
      </c>
      <c r="E8" s="207"/>
      <c r="F8" s="207" t="s">
        <v>66</v>
      </c>
      <c r="G8" s="207"/>
      <c r="H8" s="207" t="s">
        <v>77</v>
      </c>
      <c r="I8" s="207"/>
      <c r="J8" s="207" t="s">
        <v>55</v>
      </c>
      <c r="K8" s="207"/>
      <c r="L8" s="207" t="s">
        <v>56</v>
      </c>
      <c r="M8" s="207"/>
      <c r="N8" s="207" t="s">
        <v>57</v>
      </c>
      <c r="O8" s="207"/>
      <c r="P8" s="207" t="s">
        <v>58</v>
      </c>
      <c r="Q8" s="207"/>
      <c r="R8" s="207" t="s">
        <v>112</v>
      </c>
      <c r="S8" s="207"/>
      <c r="T8" s="207" t="s">
        <v>113</v>
      </c>
      <c r="U8" s="207"/>
    </row>
    <row r="9" spans="2:22" x14ac:dyDescent="0.2">
      <c r="B9" s="218">
        <v>7</v>
      </c>
      <c r="C9" s="219"/>
      <c r="D9" s="142" t="s">
        <v>64</v>
      </c>
      <c r="E9" s="93" t="s">
        <v>65</v>
      </c>
      <c r="F9" s="142" t="s">
        <v>64</v>
      </c>
      <c r="G9" s="93" t="s">
        <v>65</v>
      </c>
      <c r="H9" s="142" t="s">
        <v>64</v>
      </c>
      <c r="I9" s="93" t="s">
        <v>65</v>
      </c>
      <c r="J9" s="142" t="s">
        <v>64</v>
      </c>
      <c r="K9" s="93" t="s">
        <v>65</v>
      </c>
      <c r="L9" s="142" t="s">
        <v>64</v>
      </c>
      <c r="M9" s="93" t="s">
        <v>65</v>
      </c>
      <c r="N9" s="142" t="s">
        <v>64</v>
      </c>
      <c r="O9" s="93" t="s">
        <v>65</v>
      </c>
      <c r="P9" s="142" t="s">
        <v>64</v>
      </c>
      <c r="Q9" s="93" t="s">
        <v>65</v>
      </c>
      <c r="R9" s="142" t="s">
        <v>64</v>
      </c>
      <c r="S9" s="93" t="s">
        <v>65</v>
      </c>
      <c r="T9" s="142" t="s">
        <v>64</v>
      </c>
      <c r="U9" s="93" t="s">
        <v>65</v>
      </c>
    </row>
    <row r="10" spans="2:22" x14ac:dyDescent="0.2">
      <c r="B10" s="209" t="s">
        <v>0</v>
      </c>
      <c r="C10" s="92" t="s">
        <v>61</v>
      </c>
      <c r="D10" s="204">
        <v>12</v>
      </c>
      <c r="E10" s="120"/>
      <c r="F10" s="140">
        <v>0</v>
      </c>
      <c r="G10" s="91"/>
      <c r="H10" s="140">
        <v>0</v>
      </c>
      <c r="I10" s="32"/>
      <c r="J10" s="140">
        <v>0</v>
      </c>
      <c r="K10" s="90"/>
      <c r="L10" s="140">
        <v>0</v>
      </c>
      <c r="M10" s="90"/>
      <c r="N10" s="140">
        <v>0</v>
      </c>
      <c r="O10" s="90"/>
      <c r="P10" s="140">
        <v>0</v>
      </c>
      <c r="Q10" s="91"/>
      <c r="R10" s="140">
        <v>0</v>
      </c>
      <c r="S10" s="120"/>
      <c r="T10" s="140">
        <v>0</v>
      </c>
      <c r="U10" s="120"/>
    </row>
    <row r="11" spans="2:22" x14ac:dyDescent="0.2">
      <c r="B11" s="209"/>
      <c r="C11" s="92" t="s">
        <v>62</v>
      </c>
      <c r="D11" s="203">
        <f>+D10*150</f>
        <v>1800</v>
      </c>
      <c r="E11" s="192"/>
      <c r="F11" s="141">
        <f>+F10*150</f>
        <v>0</v>
      </c>
      <c r="G11" s="32"/>
      <c r="H11" s="141">
        <f>+H10*150</f>
        <v>0</v>
      </c>
      <c r="I11" s="32"/>
      <c r="J11" s="141">
        <f>+J10*150</f>
        <v>0</v>
      </c>
      <c r="K11" s="67"/>
      <c r="L11" s="141">
        <f>+L10*150</f>
        <v>0</v>
      </c>
      <c r="M11" s="67"/>
      <c r="N11" s="141">
        <f>+N10*150</f>
        <v>0</v>
      </c>
      <c r="O11" s="67"/>
      <c r="P11" s="141">
        <f>+P10*150</f>
        <v>0</v>
      </c>
      <c r="Q11" s="32"/>
      <c r="R11" s="141">
        <f>+R10*150</f>
        <v>0</v>
      </c>
      <c r="S11" s="132"/>
      <c r="T11" s="141">
        <f>+T10*150</f>
        <v>0</v>
      </c>
      <c r="U11" s="194"/>
    </row>
    <row r="12" spans="2:22" x14ac:dyDescent="0.2">
      <c r="B12" s="209"/>
      <c r="C12" s="92" t="s">
        <v>63</v>
      </c>
      <c r="D12" s="203">
        <f>+D11/12</f>
        <v>150</v>
      </c>
      <c r="E12" s="192"/>
      <c r="F12" s="141">
        <f>+F11/12</f>
        <v>0</v>
      </c>
      <c r="G12" s="32"/>
      <c r="H12" s="141">
        <f>+H11/12</f>
        <v>0</v>
      </c>
      <c r="I12" s="32"/>
      <c r="J12" s="141">
        <f>+J11/12</f>
        <v>0</v>
      </c>
      <c r="K12" s="67"/>
      <c r="L12" s="141">
        <f>+L11/12</f>
        <v>0</v>
      </c>
      <c r="M12" s="67"/>
      <c r="N12" s="141">
        <f>+N11/12</f>
        <v>0</v>
      </c>
      <c r="O12" s="67"/>
      <c r="P12" s="141">
        <f>+P11/12</f>
        <v>0</v>
      </c>
      <c r="Q12" s="32"/>
      <c r="R12" s="141">
        <f>+R11/12</f>
        <v>0</v>
      </c>
      <c r="S12" s="132"/>
      <c r="T12" s="141">
        <f>+T11/12</f>
        <v>0</v>
      </c>
      <c r="U12" s="194"/>
      <c r="V12" s="117"/>
    </row>
    <row r="13" spans="2:22" x14ac:dyDescent="0.2">
      <c r="C13" s="127" t="s">
        <v>114</v>
      </c>
    </row>
    <row r="14" spans="2:22" x14ac:dyDescent="0.2">
      <c r="B14" s="216" t="s">
        <v>42</v>
      </c>
      <c r="C14" s="216"/>
      <c r="D14" s="200">
        <v>10</v>
      </c>
      <c r="E14" s="201"/>
      <c r="F14" s="201">
        <f>D14+D12-D15</f>
        <v>160</v>
      </c>
      <c r="G14" s="202"/>
      <c r="H14" s="201">
        <f>F14+F12-F15</f>
        <v>160</v>
      </c>
      <c r="I14" s="202"/>
      <c r="J14" s="201">
        <f>H14+H12-H15</f>
        <v>160</v>
      </c>
      <c r="K14" s="202"/>
      <c r="L14" s="201">
        <f>J14+J12-J15</f>
        <v>160</v>
      </c>
      <c r="M14" s="202"/>
      <c r="N14" s="201">
        <f>L14+L12-L15</f>
        <v>160</v>
      </c>
      <c r="O14" s="201"/>
      <c r="P14" s="201">
        <f>N14+N12-N15</f>
        <v>160</v>
      </c>
      <c r="Q14" s="202"/>
      <c r="R14" s="201">
        <f>P14+P12-P15</f>
        <v>160</v>
      </c>
      <c r="S14" s="201"/>
      <c r="T14" s="201">
        <f>R14+R12-R15</f>
        <v>160</v>
      </c>
      <c r="U14" s="201"/>
    </row>
    <row r="15" spans="2:22" x14ac:dyDescent="0.2">
      <c r="B15" s="217" t="s">
        <v>76</v>
      </c>
      <c r="C15" s="217"/>
      <c r="D15" s="89">
        <f>+SUM(D16:D19)</f>
        <v>0</v>
      </c>
      <c r="E15" s="89"/>
      <c r="F15" s="89">
        <f>+SUM(F16:F19)</f>
        <v>0</v>
      </c>
      <c r="G15" s="89"/>
      <c r="H15" s="89">
        <f>+SUM(H16:H19)</f>
        <v>0</v>
      </c>
      <c r="I15" s="89"/>
      <c r="J15" s="89">
        <f>+SUM(J16:J19)</f>
        <v>0</v>
      </c>
      <c r="K15" s="89"/>
      <c r="L15" s="89">
        <f>+SUM(L16:L19)</f>
        <v>0</v>
      </c>
      <c r="M15" s="89"/>
      <c r="N15" s="89">
        <f>+SUM(N16:N19)</f>
        <v>0</v>
      </c>
      <c r="O15" s="89"/>
      <c r="P15" s="89">
        <f>+SUM(P16:P19)</f>
        <v>0</v>
      </c>
      <c r="Q15" s="89"/>
      <c r="R15" s="89">
        <f>+SUM(R16:R19)</f>
        <v>0</v>
      </c>
      <c r="S15" s="89"/>
      <c r="T15" s="89">
        <f>+SUM(T16:T19)</f>
        <v>0</v>
      </c>
      <c r="U15" s="89"/>
      <c r="V15" s="133">
        <f>+SUM(D15:T15)</f>
        <v>0</v>
      </c>
    </row>
    <row r="16" spans="2:22" x14ac:dyDescent="0.2">
      <c r="B16" s="211" t="s">
        <v>86</v>
      </c>
      <c r="C16" s="211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</row>
    <row r="17" spans="2:22" x14ac:dyDescent="0.2">
      <c r="B17" s="211" t="s">
        <v>84</v>
      </c>
      <c r="C17" s="211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</row>
    <row r="18" spans="2:22" x14ac:dyDescent="0.2">
      <c r="B18" s="211" t="s">
        <v>85</v>
      </c>
      <c r="C18" s="211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</row>
    <row r="19" spans="2:22" x14ac:dyDescent="0.2">
      <c r="B19" s="211" t="s">
        <v>83</v>
      </c>
      <c r="C19" s="211"/>
      <c r="D19" s="138"/>
      <c r="E19" s="193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93"/>
      <c r="T19" s="138"/>
      <c r="U19" s="193"/>
    </row>
    <row r="20" spans="2:22" x14ac:dyDescent="0.2">
      <c r="D20" s="139" t="s">
        <v>64</v>
      </c>
      <c r="E20" s="136" t="s">
        <v>65</v>
      </c>
      <c r="F20" s="139" t="s">
        <v>64</v>
      </c>
      <c r="G20" s="136" t="s">
        <v>65</v>
      </c>
      <c r="H20" s="139" t="s">
        <v>64</v>
      </c>
      <c r="I20" s="137" t="s">
        <v>65</v>
      </c>
      <c r="J20" s="139" t="s">
        <v>64</v>
      </c>
      <c r="K20" s="136" t="s">
        <v>65</v>
      </c>
      <c r="L20" s="139" t="s">
        <v>64</v>
      </c>
      <c r="M20" s="136" t="s">
        <v>65</v>
      </c>
      <c r="N20" s="139" t="s">
        <v>64</v>
      </c>
      <c r="O20" s="136" t="s">
        <v>65</v>
      </c>
      <c r="P20" s="139" t="s">
        <v>64</v>
      </c>
      <c r="Q20" s="136" t="s">
        <v>65</v>
      </c>
      <c r="R20" s="139" t="s">
        <v>64</v>
      </c>
      <c r="S20" s="136" t="s">
        <v>65</v>
      </c>
      <c r="T20" s="139" t="s">
        <v>64</v>
      </c>
      <c r="U20" s="136" t="s">
        <v>65</v>
      </c>
    </row>
    <row r="21" spans="2:22" x14ac:dyDescent="0.2">
      <c r="B21" s="88"/>
      <c r="C21" s="124" t="s">
        <v>79</v>
      </c>
      <c r="D21" s="204">
        <v>50</v>
      </c>
      <c r="E21" s="120"/>
      <c r="F21" s="140">
        <v>0</v>
      </c>
      <c r="G21" s="120"/>
      <c r="H21" s="140">
        <v>0</v>
      </c>
      <c r="I21" s="192"/>
      <c r="J21" s="140">
        <v>0</v>
      </c>
      <c r="K21" s="90"/>
      <c r="L21" s="140">
        <v>0</v>
      </c>
      <c r="M21" s="90"/>
      <c r="N21" s="140">
        <v>0</v>
      </c>
      <c r="O21" s="90"/>
      <c r="P21" s="140">
        <v>0</v>
      </c>
      <c r="Q21" s="120"/>
      <c r="R21" s="140">
        <v>0</v>
      </c>
      <c r="S21" s="120"/>
      <c r="T21" s="140">
        <v>0</v>
      </c>
      <c r="U21" s="120"/>
    </row>
    <row r="22" spans="2:22" x14ac:dyDescent="0.2">
      <c r="B22" s="232" t="s">
        <v>69</v>
      </c>
      <c r="C22" s="124" t="s">
        <v>61</v>
      </c>
      <c r="D22" s="205">
        <f>+D21/3</f>
        <v>16.666666666666668</v>
      </c>
      <c r="E22" s="120"/>
      <c r="F22" s="140">
        <f>+F21/3</f>
        <v>0</v>
      </c>
      <c r="G22" s="120"/>
      <c r="H22" s="140">
        <f>+H21/3</f>
        <v>0</v>
      </c>
      <c r="I22" s="192"/>
      <c r="J22" s="140">
        <f>+J21/3</f>
        <v>0</v>
      </c>
      <c r="K22" s="90"/>
      <c r="L22" s="140">
        <f>+L21/3</f>
        <v>0</v>
      </c>
      <c r="M22" s="90"/>
      <c r="N22" s="140">
        <f>+N21/3</f>
        <v>0</v>
      </c>
      <c r="O22" s="90"/>
      <c r="P22" s="140">
        <f>+P21/3</f>
        <v>0</v>
      </c>
      <c r="Q22" s="120"/>
      <c r="R22" s="140">
        <f>+R21/3</f>
        <v>0</v>
      </c>
      <c r="S22" s="120"/>
      <c r="T22" s="140">
        <f>+T21/3</f>
        <v>0</v>
      </c>
      <c r="U22" s="120"/>
    </row>
    <row r="23" spans="2:22" x14ac:dyDescent="0.2">
      <c r="B23" s="232"/>
      <c r="C23" s="124" t="s">
        <v>62</v>
      </c>
      <c r="D23" s="203">
        <f>+D22*210</f>
        <v>3500.0000000000005</v>
      </c>
      <c r="E23" s="192"/>
      <c r="F23" s="141">
        <f>+F22*210</f>
        <v>0</v>
      </c>
      <c r="G23" s="192"/>
      <c r="H23" s="141">
        <f>+H22*210</f>
        <v>0</v>
      </c>
      <c r="I23" s="192"/>
      <c r="J23" s="141">
        <f>+J22*210</f>
        <v>0</v>
      </c>
      <c r="K23" s="67"/>
      <c r="L23" s="141">
        <f>+L22*210</f>
        <v>0</v>
      </c>
      <c r="M23" s="67"/>
      <c r="N23" s="141">
        <f>+N22*210</f>
        <v>0</v>
      </c>
      <c r="O23" s="67"/>
      <c r="P23" s="141">
        <f>+P22*210</f>
        <v>0</v>
      </c>
      <c r="Q23" s="134"/>
      <c r="R23" s="141">
        <f>+R22*210</f>
        <v>0</v>
      </c>
      <c r="S23" s="134"/>
      <c r="T23" s="141">
        <f>+T22*210</f>
        <v>0</v>
      </c>
      <c r="U23" s="194"/>
    </row>
    <row r="24" spans="2:22" x14ac:dyDescent="0.2">
      <c r="B24" s="232"/>
      <c r="C24" s="124" t="s">
        <v>63</v>
      </c>
      <c r="D24" s="203">
        <f>+D23/12</f>
        <v>291.66666666666669</v>
      </c>
      <c r="E24" s="192"/>
      <c r="F24" s="141">
        <f>+F23/12</f>
        <v>0</v>
      </c>
      <c r="G24" s="192"/>
      <c r="H24" s="141">
        <f>+H23/12</f>
        <v>0</v>
      </c>
      <c r="I24" s="192"/>
      <c r="J24" s="141">
        <f>+J23/12</f>
        <v>0</v>
      </c>
      <c r="K24" s="67"/>
      <c r="L24" s="141">
        <f>+L23/12</f>
        <v>0</v>
      </c>
      <c r="M24" s="67"/>
      <c r="N24" s="141">
        <f>+N23/12</f>
        <v>0</v>
      </c>
      <c r="O24" s="67"/>
      <c r="P24" s="141">
        <f>+P23/12</f>
        <v>0</v>
      </c>
      <c r="Q24" s="134"/>
      <c r="R24" s="141">
        <f>+R23/12</f>
        <v>0</v>
      </c>
      <c r="S24" s="134"/>
      <c r="T24" s="141">
        <f>+T23/12</f>
        <v>0</v>
      </c>
      <c r="U24" s="194"/>
      <c r="V24" s="117"/>
    </row>
    <row r="25" spans="2:22" x14ac:dyDescent="0.2">
      <c r="C25" s="128" t="s">
        <v>115</v>
      </c>
      <c r="J25" s="133"/>
    </row>
    <row r="26" spans="2:22" x14ac:dyDescent="0.2">
      <c r="B26" s="216" t="s">
        <v>42</v>
      </c>
      <c r="C26" s="216"/>
      <c r="D26" s="200">
        <v>500</v>
      </c>
      <c r="E26" s="201"/>
      <c r="F26" s="201">
        <f>D26+D24-D27</f>
        <v>645.66666666666674</v>
      </c>
      <c r="G26" s="202"/>
      <c r="H26" s="201">
        <f>F26+F24-F27</f>
        <v>605.66666666666674</v>
      </c>
      <c r="I26" s="202"/>
      <c r="J26" s="201">
        <f>H26+H24-H27</f>
        <v>415.66666666666674</v>
      </c>
      <c r="K26" s="202"/>
      <c r="L26" s="201">
        <f>J26+J24-J27</f>
        <v>415.66666666666674</v>
      </c>
      <c r="M26" s="202"/>
      <c r="N26" s="201">
        <f>L26+L24-L27</f>
        <v>415.66666666666674</v>
      </c>
      <c r="O26" s="201"/>
      <c r="P26" s="201">
        <f>N26+N24-N27</f>
        <v>415.66666666666674</v>
      </c>
      <c r="Q26" s="202"/>
      <c r="R26" s="201">
        <f>P26+P24-P27</f>
        <v>415.66666666666674</v>
      </c>
      <c r="S26" s="201"/>
      <c r="T26" s="201">
        <f>R26+R24-R27</f>
        <v>415.66666666666674</v>
      </c>
      <c r="U26" s="135"/>
    </row>
    <row r="27" spans="2:22" x14ac:dyDescent="0.2">
      <c r="B27" s="217" t="s">
        <v>76</v>
      </c>
      <c r="C27" s="217"/>
      <c r="D27" s="89">
        <f>+SUM(D28:D31)</f>
        <v>146</v>
      </c>
      <c r="E27" s="89"/>
      <c r="F27" s="89">
        <f>+SUM(F28:F31)</f>
        <v>40</v>
      </c>
      <c r="G27" s="89"/>
      <c r="H27" s="89">
        <f>+SUM(H28:H31)</f>
        <v>190</v>
      </c>
      <c r="I27" s="89"/>
      <c r="J27" s="89">
        <f>+SUM(J28:J31)</f>
        <v>0</v>
      </c>
      <c r="K27" s="89"/>
      <c r="L27" s="89">
        <f>+SUM(L28:L31)</f>
        <v>0</v>
      </c>
      <c r="M27" s="89"/>
      <c r="N27" s="89">
        <f>+SUM(N28:N31)</f>
        <v>0</v>
      </c>
      <c r="O27" s="89"/>
      <c r="P27" s="89">
        <f>+SUM(P28:P31)</f>
        <v>0</v>
      </c>
      <c r="Q27" s="89"/>
      <c r="R27" s="89">
        <f>+SUM(R28:R31)</f>
        <v>0</v>
      </c>
      <c r="S27" s="89"/>
      <c r="T27" s="89">
        <f>+SUM(T28:T31)</f>
        <v>0</v>
      </c>
      <c r="U27" s="89"/>
      <c r="V27" s="133">
        <f>+SUM(D27:U27)</f>
        <v>376</v>
      </c>
    </row>
    <row r="28" spans="2:22" x14ac:dyDescent="0.2">
      <c r="B28" s="211" t="s">
        <v>86</v>
      </c>
      <c r="C28" s="211"/>
      <c r="D28" s="138">
        <v>11</v>
      </c>
      <c r="E28" s="138"/>
      <c r="F28" s="138">
        <v>10</v>
      </c>
      <c r="G28" s="138"/>
      <c r="H28" s="138">
        <v>120</v>
      </c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</row>
    <row r="29" spans="2:22" x14ac:dyDescent="0.2">
      <c r="B29" s="211" t="s">
        <v>84</v>
      </c>
      <c r="C29" s="211"/>
      <c r="D29" s="138">
        <v>12</v>
      </c>
      <c r="E29" s="138"/>
      <c r="F29" s="138">
        <v>10</v>
      </c>
      <c r="G29" s="138"/>
      <c r="H29" s="138">
        <v>20</v>
      </c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</row>
    <row r="30" spans="2:22" x14ac:dyDescent="0.2">
      <c r="B30" s="211" t="s">
        <v>85</v>
      </c>
      <c r="C30" s="211"/>
      <c r="D30" s="138">
        <v>123</v>
      </c>
      <c r="E30" s="138"/>
      <c r="F30" s="138">
        <v>10</v>
      </c>
      <c r="G30" s="138"/>
      <c r="H30" s="138">
        <v>20</v>
      </c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</row>
    <row r="31" spans="2:22" ht="17" thickBot="1" x14ac:dyDescent="0.25">
      <c r="B31" s="211" t="s">
        <v>83</v>
      </c>
      <c r="C31" s="211"/>
      <c r="D31" s="138"/>
      <c r="E31" s="138"/>
      <c r="F31" s="138">
        <v>10</v>
      </c>
      <c r="G31" s="138"/>
      <c r="H31" s="138">
        <v>30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</row>
    <row r="32" spans="2:22" ht="17" thickBot="1" x14ac:dyDescent="0.25">
      <c r="V32" s="126" t="s">
        <v>82</v>
      </c>
    </row>
    <row r="33" spans="2:22" ht="17" thickBot="1" x14ac:dyDescent="0.25">
      <c r="B33" s="213" t="s">
        <v>78</v>
      </c>
      <c r="C33" s="214"/>
      <c r="D33" s="208">
        <f>+D27*18240+D15*29100</f>
        <v>2663040</v>
      </c>
      <c r="E33" s="208"/>
      <c r="F33" s="208">
        <f>+F27*18240+F15*29100</f>
        <v>729600</v>
      </c>
      <c r="G33" s="208"/>
      <c r="H33" s="208">
        <f>+H27*18240+H15*29100</f>
        <v>3465600</v>
      </c>
      <c r="I33" s="208"/>
      <c r="J33" s="208">
        <f>+J27*18240+J15*29100</f>
        <v>0</v>
      </c>
      <c r="K33" s="208"/>
      <c r="L33" s="208">
        <f>+L27*18240+L15*29100</f>
        <v>0</v>
      </c>
      <c r="M33" s="208"/>
      <c r="N33" s="208">
        <f>+N27*18240+N15*29100</f>
        <v>0</v>
      </c>
      <c r="O33" s="208"/>
      <c r="P33" s="208">
        <f>+P27*18240+P15*29100</f>
        <v>0</v>
      </c>
      <c r="Q33" s="208"/>
      <c r="R33" s="208">
        <f>+R27*18240+R15*29100</f>
        <v>0</v>
      </c>
      <c r="S33" s="208"/>
      <c r="T33" s="208">
        <f>+T27*18240+T15*29100</f>
        <v>0</v>
      </c>
      <c r="U33" s="208"/>
      <c r="V33" s="125">
        <f>+SUM(J33:S33)</f>
        <v>0</v>
      </c>
    </row>
    <row r="36" spans="2:22" ht="17" thickBot="1" x14ac:dyDescent="0.25"/>
    <row r="37" spans="2:22" ht="17" thickBot="1" x14ac:dyDescent="0.25">
      <c r="D37" s="210" t="s">
        <v>59</v>
      </c>
      <c r="E37" s="210"/>
      <c r="F37" s="210" t="s">
        <v>66</v>
      </c>
      <c r="G37" s="212"/>
      <c r="H37" s="210" t="s">
        <v>77</v>
      </c>
      <c r="I37" s="212"/>
      <c r="J37" s="215" t="s">
        <v>55</v>
      </c>
      <c r="K37" s="210"/>
      <c r="L37" s="210" t="s">
        <v>56</v>
      </c>
      <c r="M37" s="210"/>
      <c r="N37" s="210" t="s">
        <v>57</v>
      </c>
      <c r="O37" s="210"/>
      <c r="P37" s="210" t="s">
        <v>58</v>
      </c>
      <c r="Q37" s="210"/>
      <c r="R37" s="210" t="s">
        <v>59</v>
      </c>
      <c r="S37" s="210"/>
      <c r="T37" s="210" t="s">
        <v>66</v>
      </c>
      <c r="U37" s="210"/>
    </row>
    <row r="38" spans="2:22" ht="17" thickBot="1" x14ac:dyDescent="0.25">
      <c r="C38" s="7" t="s">
        <v>39</v>
      </c>
      <c r="D38" s="8" t="s">
        <v>70</v>
      </c>
      <c r="E38" s="9" t="s">
        <v>38</v>
      </c>
      <c r="F38" s="8" t="s">
        <v>70</v>
      </c>
      <c r="G38" s="9" t="s">
        <v>38</v>
      </c>
      <c r="H38" s="8" t="s">
        <v>70</v>
      </c>
      <c r="I38" s="9" t="s">
        <v>38</v>
      </c>
      <c r="J38" s="8" t="s">
        <v>70</v>
      </c>
      <c r="K38" s="9" t="s">
        <v>38</v>
      </c>
      <c r="L38" s="8" t="s">
        <v>70</v>
      </c>
      <c r="M38" s="9" t="s">
        <v>38</v>
      </c>
      <c r="N38" s="8" t="s">
        <v>70</v>
      </c>
      <c r="O38" s="9" t="s">
        <v>38</v>
      </c>
      <c r="P38" s="8" t="s">
        <v>70</v>
      </c>
      <c r="Q38" s="9" t="s">
        <v>38</v>
      </c>
      <c r="R38" s="8" t="s">
        <v>70</v>
      </c>
      <c r="S38" s="9" t="s">
        <v>38</v>
      </c>
      <c r="T38" s="8" t="s">
        <v>70</v>
      </c>
      <c r="U38" s="9" t="s">
        <v>38</v>
      </c>
    </row>
    <row r="39" spans="2:22" x14ac:dyDescent="0.2">
      <c r="C39" s="13" t="s">
        <v>1</v>
      </c>
      <c r="D39" s="206">
        <f>+(D$11*'Fórmula LA'!$D5)/150</f>
        <v>108</v>
      </c>
      <c r="E39" s="14" t="s">
        <v>75</v>
      </c>
      <c r="F39" s="68">
        <f>+(F$11*'Fórmula LA'!$D5)/150</f>
        <v>0</v>
      </c>
      <c r="G39" s="14" t="s">
        <v>75</v>
      </c>
      <c r="H39" s="68">
        <f>+(H$11*'Fórmula LA'!$D5)/150</f>
        <v>0</v>
      </c>
      <c r="I39" s="14" t="s">
        <v>75</v>
      </c>
      <c r="J39" s="68">
        <f>+(J$11*'Fórmula LA'!$D5)/150</f>
        <v>0</v>
      </c>
      <c r="K39" s="14" t="s">
        <v>75</v>
      </c>
      <c r="L39" s="68">
        <f>+(L$11*'Fórmula LA'!$D5)/150</f>
        <v>0</v>
      </c>
      <c r="M39" s="14" t="s">
        <v>75</v>
      </c>
      <c r="N39" s="68">
        <f>+(N$11*'Fórmula LA'!$D5)/150</f>
        <v>0</v>
      </c>
      <c r="O39" s="14" t="s">
        <v>75</v>
      </c>
      <c r="P39" s="76">
        <f>+(P$11*'Fórmula LA'!$D5)/150</f>
        <v>0</v>
      </c>
      <c r="Q39" s="14" t="s">
        <v>75</v>
      </c>
      <c r="R39" s="68">
        <f>+(R$11*'Fórmula LA'!$D5)/150</f>
        <v>0</v>
      </c>
      <c r="S39" s="14" t="s">
        <v>75</v>
      </c>
      <c r="T39" s="68">
        <f>+(T$11*'Fórmula LA'!$D5)/150</f>
        <v>0</v>
      </c>
      <c r="U39" s="14" t="s">
        <v>75</v>
      </c>
    </row>
    <row r="40" spans="2:22" x14ac:dyDescent="0.2">
      <c r="C40" s="15" t="s">
        <v>2</v>
      </c>
      <c r="D40" s="71">
        <f>+(D$11*'Fórmula LA'!$D6)/150/10000</f>
        <v>6</v>
      </c>
      <c r="E40" s="72" t="s">
        <v>44</v>
      </c>
      <c r="F40" s="71">
        <f>+(F$11*'Fórmula LA'!$D6)/150/10000</f>
        <v>0</v>
      </c>
      <c r="G40" s="72" t="s">
        <v>44</v>
      </c>
      <c r="H40" s="71">
        <f>+(H$11*'Fórmula LA'!$D6)/150/10000</f>
        <v>0</v>
      </c>
      <c r="I40" s="72" t="s">
        <v>44</v>
      </c>
      <c r="J40" s="71">
        <f>+(J$11*'Fórmula LA'!$D6)/150/10000</f>
        <v>0</v>
      </c>
      <c r="K40" s="72" t="s">
        <v>44</v>
      </c>
      <c r="L40" s="71">
        <f>+(L$11*'Fórmula LA'!$D6)/150/10000</f>
        <v>0</v>
      </c>
      <c r="M40" s="72" t="s">
        <v>44</v>
      </c>
      <c r="N40" s="71">
        <f>+(N$11*'Fórmula LA'!$D6)/150/10000</f>
        <v>0</v>
      </c>
      <c r="O40" s="72" t="s">
        <v>44</v>
      </c>
      <c r="P40" s="71">
        <f>+(P$11*'Fórmula LA'!$D6)/150/10000</f>
        <v>0</v>
      </c>
      <c r="Q40" s="72" t="s">
        <v>44</v>
      </c>
      <c r="R40" s="71">
        <f>+(R$11*'Fórmula LA'!$D6)/150/10000</f>
        <v>0</v>
      </c>
      <c r="S40" s="72" t="s">
        <v>44</v>
      </c>
      <c r="T40" s="71">
        <f>+(T$11*'Fórmula LA'!$D6)/150/10000</f>
        <v>0</v>
      </c>
      <c r="U40" s="72" t="s">
        <v>44</v>
      </c>
      <c r="V40" s="170"/>
    </row>
    <row r="41" spans="2:22" x14ac:dyDescent="0.2">
      <c r="C41" s="15" t="s">
        <v>3</v>
      </c>
      <c r="D41" s="69">
        <f>+(D$11*'Fórmula LA'!$D7)/150/10</f>
        <v>4.2</v>
      </c>
      <c r="E41" s="16" t="s">
        <v>44</v>
      </c>
      <c r="F41" s="69">
        <f>+(F$11*'Fórmula LA'!$D7)/150/10</f>
        <v>0</v>
      </c>
      <c r="G41" s="16" t="s">
        <v>44</v>
      </c>
      <c r="H41" s="69">
        <f>+(H$11*'Fórmula LA'!$D7)/150/10</f>
        <v>0</v>
      </c>
      <c r="I41" s="16" t="s">
        <v>44</v>
      </c>
      <c r="J41" s="69">
        <f>+(J$11*'Fórmula LA'!$D7)/150/10</f>
        <v>0</v>
      </c>
      <c r="K41" s="16" t="s">
        <v>44</v>
      </c>
      <c r="L41" s="69">
        <f>+(L$11*'Fórmula LA'!$D7)/150/10</f>
        <v>0</v>
      </c>
      <c r="M41" s="16" t="s">
        <v>44</v>
      </c>
      <c r="N41" s="69">
        <f>+(N$11*'Fórmula LA'!$D7)/150/10</f>
        <v>0</v>
      </c>
      <c r="O41" s="16" t="s">
        <v>44</v>
      </c>
      <c r="P41" s="69">
        <f>+(P$11*'Fórmula LA'!$D7)/150/10</f>
        <v>0</v>
      </c>
      <c r="Q41" s="16" t="s">
        <v>44</v>
      </c>
      <c r="R41" s="69">
        <f>+(R$11*'Fórmula LA'!$D7)/150/10</f>
        <v>0</v>
      </c>
      <c r="S41" s="16" t="s">
        <v>44</v>
      </c>
      <c r="T41" s="69">
        <f>+(T$11*'Fórmula LA'!$D7)/150/10</f>
        <v>0</v>
      </c>
      <c r="U41" s="16" t="s">
        <v>44</v>
      </c>
      <c r="V41" s="170"/>
    </row>
    <row r="42" spans="2:22" x14ac:dyDescent="0.2">
      <c r="C42" s="15" t="s">
        <v>4</v>
      </c>
      <c r="D42" s="71">
        <f>+(D$11*'Fórmula LA'!$D8)/150</f>
        <v>7.2</v>
      </c>
      <c r="E42" s="72" t="s">
        <v>22</v>
      </c>
      <c r="F42" s="71">
        <f>+(F$11*'Fórmula LA'!$D8)/150</f>
        <v>0</v>
      </c>
      <c r="G42" s="72" t="s">
        <v>22</v>
      </c>
      <c r="H42" s="71">
        <f>+(H$11*'Fórmula LA'!$D8)/150</f>
        <v>0</v>
      </c>
      <c r="I42" s="72" t="s">
        <v>22</v>
      </c>
      <c r="J42" s="71">
        <f>+(J$11*'Fórmula LA'!$D8)/150</f>
        <v>0</v>
      </c>
      <c r="K42" s="72" t="s">
        <v>22</v>
      </c>
      <c r="L42" s="71">
        <f>+(L$11*'Fórmula LA'!$D8)/150</f>
        <v>0</v>
      </c>
      <c r="M42" s="72" t="s">
        <v>22</v>
      </c>
      <c r="N42" s="71">
        <f>+(N$11*'Fórmula LA'!$D8)/150</f>
        <v>0</v>
      </c>
      <c r="O42" s="72" t="s">
        <v>22</v>
      </c>
      <c r="P42" s="71">
        <f>+(P$11*'Fórmula LA'!$D8)/150</f>
        <v>0</v>
      </c>
      <c r="Q42" s="72" t="s">
        <v>22</v>
      </c>
      <c r="R42" s="71">
        <f>+(R$11*'Fórmula LA'!$D8)/150</f>
        <v>0</v>
      </c>
      <c r="S42" s="72" t="s">
        <v>22</v>
      </c>
      <c r="T42" s="71">
        <f>+(T$11*'Fórmula LA'!$D8)/150</f>
        <v>0</v>
      </c>
      <c r="U42" s="72" t="s">
        <v>22</v>
      </c>
    </row>
    <row r="43" spans="2:22" ht="17" thickBot="1" x14ac:dyDescent="0.25">
      <c r="C43" s="17" t="s">
        <v>5</v>
      </c>
      <c r="D43" s="70">
        <f>+(D$11*'Fórmula LA'!$D9)/150</f>
        <v>22</v>
      </c>
      <c r="E43" s="18" t="s">
        <v>73</v>
      </c>
      <c r="F43" s="70">
        <f>+(F$11*'Fórmula LA'!$D9)/150</f>
        <v>0</v>
      </c>
      <c r="G43" s="18" t="s">
        <v>73</v>
      </c>
      <c r="H43" s="70">
        <f>+(H$11*'Fórmula LA'!$D9)/150</f>
        <v>0</v>
      </c>
      <c r="I43" s="18" t="s">
        <v>73</v>
      </c>
      <c r="J43" s="70">
        <f>+(J$11*'Fórmula LA'!$D9)/150</f>
        <v>0</v>
      </c>
      <c r="K43" s="18" t="s">
        <v>73</v>
      </c>
      <c r="L43" s="70">
        <f>+(L$11*'Fórmula LA'!$D9)/150</f>
        <v>0</v>
      </c>
      <c r="M43" s="18" t="s">
        <v>73</v>
      </c>
      <c r="N43" s="70">
        <f>+(N$11*'Fórmula LA'!$D9)/150</f>
        <v>0</v>
      </c>
      <c r="O43" s="18" t="s">
        <v>73</v>
      </c>
      <c r="P43" s="70">
        <f>+(P$11*'Fórmula LA'!$D9)/150</f>
        <v>0</v>
      </c>
      <c r="Q43" s="18" t="s">
        <v>73</v>
      </c>
      <c r="R43" s="70">
        <f>+(R$11*'Fórmula LA'!$D9)/150</f>
        <v>0</v>
      </c>
      <c r="S43" s="18" t="s">
        <v>73</v>
      </c>
      <c r="T43" s="70">
        <f>+(T$11*'Fórmula LA'!$D9)/150</f>
        <v>0</v>
      </c>
      <c r="U43" s="18" t="s">
        <v>73</v>
      </c>
      <c r="V43" s="170"/>
    </row>
    <row r="44" spans="2:22" x14ac:dyDescent="0.2">
      <c r="C44" s="13" t="s">
        <v>6</v>
      </c>
      <c r="D44" s="2">
        <f>+MROUND(((D$11*'Fórmula LA'!$D10)/150),1)</f>
        <v>252</v>
      </c>
      <c r="E44" s="21" t="s">
        <v>72</v>
      </c>
      <c r="F44" s="2">
        <f>+MROUND(((F$11*'Fórmula LA'!$D10)/150),1)</f>
        <v>0</v>
      </c>
      <c r="G44" s="21" t="s">
        <v>72</v>
      </c>
      <c r="H44" s="2">
        <f>+MROUND(((H$11*'Fórmula LA'!$D10)/150),1)</f>
        <v>0</v>
      </c>
      <c r="I44" s="21" t="s">
        <v>72</v>
      </c>
      <c r="J44" s="2">
        <f>+MROUND(((J$11*'Fórmula LA'!$D10)/150),1)</f>
        <v>0</v>
      </c>
      <c r="K44" s="21" t="s">
        <v>72</v>
      </c>
      <c r="L44" s="2">
        <f>+MROUND(((L$11*'Fórmula LA'!$D10)/150),1)</f>
        <v>0</v>
      </c>
      <c r="M44" s="21" t="s">
        <v>72</v>
      </c>
      <c r="N44" s="2">
        <f>+MROUND(((N$11*'Fórmula LA'!$D10)/150),1)</f>
        <v>0</v>
      </c>
      <c r="O44" s="21" t="s">
        <v>72</v>
      </c>
      <c r="P44" s="2">
        <f>+MROUND(((P$11*'Fórmula LA'!$D10)/150),1)</f>
        <v>0</v>
      </c>
      <c r="Q44" s="21" t="s">
        <v>72</v>
      </c>
      <c r="R44" s="2">
        <f>+MROUND(((R$11*'Fórmula LA'!$D10)/150),1)</f>
        <v>0</v>
      </c>
      <c r="S44" s="21" t="s">
        <v>72</v>
      </c>
      <c r="T44" s="2">
        <f>+MROUND(((T$11*'Fórmula LA'!$D10)/150),1)</f>
        <v>0</v>
      </c>
      <c r="U44" s="21" t="s">
        <v>72</v>
      </c>
    </row>
    <row r="45" spans="2:22" ht="17" thickBot="1" x14ac:dyDescent="0.25">
      <c r="C45" s="17" t="s">
        <v>7</v>
      </c>
      <c r="D45" s="74">
        <f>+MROUND(((D$11*'Fórmula LA'!$D11)/150),1)</f>
        <v>252</v>
      </c>
      <c r="E45" s="75" t="s">
        <v>72</v>
      </c>
      <c r="F45" s="74">
        <f>+MROUND(((F$11*'Fórmula LA'!$D11)/150),1)</f>
        <v>0</v>
      </c>
      <c r="G45" s="75" t="s">
        <v>72</v>
      </c>
      <c r="H45" s="74">
        <f>+MROUND(((H$11*'Fórmula LA'!$D11)/150),1)</f>
        <v>0</v>
      </c>
      <c r="I45" s="75" t="s">
        <v>72</v>
      </c>
      <c r="J45" s="74">
        <f>+MROUND(((J$11*'Fórmula LA'!$D11)/150),1)</f>
        <v>0</v>
      </c>
      <c r="K45" s="75" t="s">
        <v>72</v>
      </c>
      <c r="L45" s="74">
        <f>+MROUND(((L$11*'Fórmula LA'!$D11)/150),1)</f>
        <v>0</v>
      </c>
      <c r="M45" s="75" t="s">
        <v>72</v>
      </c>
      <c r="N45" s="74">
        <f>+MROUND(((N$11*'Fórmula LA'!$D11)/150),1)</f>
        <v>0</v>
      </c>
      <c r="O45" s="75" t="s">
        <v>72</v>
      </c>
      <c r="P45" s="74">
        <f>+MROUND(((P$11*'Fórmula LA'!$D11)/150),1)</f>
        <v>0</v>
      </c>
      <c r="Q45" s="75" t="s">
        <v>72</v>
      </c>
      <c r="R45" s="74">
        <f>+MROUND(((R$11*'Fórmula LA'!$D11)/150),1)</f>
        <v>0</v>
      </c>
      <c r="S45" s="75" t="s">
        <v>72</v>
      </c>
      <c r="T45" s="74">
        <f>+MROUND(((T$11*'Fórmula LA'!$D11)/150),1)</f>
        <v>0</v>
      </c>
      <c r="U45" s="75" t="s">
        <v>72</v>
      </c>
    </row>
    <row r="46" spans="2:22" x14ac:dyDescent="0.2">
      <c r="C46" s="49" t="s">
        <v>60</v>
      </c>
      <c r="D46" s="23">
        <f>+MROUND(((D$11*'Fórmula LA'!$D12)/150),0.5)</f>
        <v>1800</v>
      </c>
      <c r="E46" s="21" t="s">
        <v>71</v>
      </c>
      <c r="F46" s="23">
        <f>+MROUND(((F$11*'Fórmula LA'!$D12)/150),0.5)</f>
        <v>0</v>
      </c>
      <c r="G46" s="21" t="s">
        <v>71</v>
      </c>
      <c r="H46" s="23">
        <f>+MROUND(((H$11*'Fórmula LA'!$D12)/150),0.5)</f>
        <v>0</v>
      </c>
      <c r="I46" s="21" t="s">
        <v>71</v>
      </c>
      <c r="J46" s="23">
        <f>+MROUND(((J$11*'Fórmula LA'!$D12)/150),0.5)</f>
        <v>0</v>
      </c>
      <c r="K46" s="21" t="s">
        <v>71</v>
      </c>
      <c r="L46" s="23">
        <f>+MROUND(((L$11*'Fórmula LA'!$D12)/150),0.5)</f>
        <v>0</v>
      </c>
      <c r="M46" s="21" t="s">
        <v>71</v>
      </c>
      <c r="N46" s="23">
        <f>+MROUND(((N$11*'Fórmula LA'!$D12)/150),0.5)</f>
        <v>0</v>
      </c>
      <c r="O46" s="21" t="s">
        <v>71</v>
      </c>
      <c r="P46" s="23">
        <f>+MROUND(((P$11*'Fórmula LA'!$D12)/150),0.5)</f>
        <v>0</v>
      </c>
      <c r="Q46" s="21" t="s">
        <v>71</v>
      </c>
      <c r="R46" s="23">
        <f>+MROUND(((R$11*'Fórmula LA'!$D12)/150),0.5)</f>
        <v>0</v>
      </c>
      <c r="S46" s="21" t="s">
        <v>71</v>
      </c>
      <c r="T46" s="23">
        <f>+MROUND(((T$11*'Fórmula LA'!$D12)/150),0.5)</f>
        <v>0</v>
      </c>
      <c r="U46" s="21" t="s">
        <v>71</v>
      </c>
    </row>
    <row r="47" spans="2:22" ht="17" thickBot="1" x14ac:dyDescent="0.25">
      <c r="C47" s="50" t="s">
        <v>9</v>
      </c>
      <c r="D47" s="85">
        <f>+MROUND(((D$11*'Fórmula LA'!$D13)/150),0.5)</f>
        <v>1800</v>
      </c>
      <c r="E47" s="75" t="s">
        <v>71</v>
      </c>
      <c r="F47" s="85">
        <f>+MROUND(((F$11*'Fórmula LA'!$D13)/150),0.5)</f>
        <v>0</v>
      </c>
      <c r="G47" s="75" t="s">
        <v>71</v>
      </c>
      <c r="H47" s="85">
        <f>+MROUND(((H$11*'Fórmula LA'!$D13)/150),0.5)</f>
        <v>0</v>
      </c>
      <c r="I47" s="75" t="s">
        <v>71</v>
      </c>
      <c r="J47" s="85">
        <f>+MROUND(((J$11*'Fórmula LA'!$D13)/150),0.5)</f>
        <v>0</v>
      </c>
      <c r="K47" s="75" t="s">
        <v>71</v>
      </c>
      <c r="L47" s="85">
        <f>+MROUND(((L$11*'Fórmula LA'!$D13)/150),0.5)</f>
        <v>0</v>
      </c>
      <c r="M47" s="75" t="s">
        <v>71</v>
      </c>
      <c r="N47" s="85">
        <f>+MROUND(((N$11*'Fórmula LA'!$D13)/150),0.5)</f>
        <v>0</v>
      </c>
      <c r="O47" s="75" t="s">
        <v>71</v>
      </c>
      <c r="P47" s="85">
        <f>+MROUND(((P$11*'Fórmula LA'!$D13)/150),0.5)</f>
        <v>0</v>
      </c>
      <c r="Q47" s="75" t="s">
        <v>71</v>
      </c>
      <c r="R47" s="85">
        <f>+MROUND(((R$11*'Fórmula LA'!$D13)/150),0.5)</f>
        <v>0</v>
      </c>
      <c r="S47" s="75" t="s">
        <v>71</v>
      </c>
      <c r="T47" s="85">
        <f>+MROUND(((T$11*'Fórmula LA'!$D13)/150),0.5)</f>
        <v>0</v>
      </c>
      <c r="U47" s="75" t="s">
        <v>71</v>
      </c>
    </row>
    <row r="48" spans="2:22" x14ac:dyDescent="0.2">
      <c r="C48" s="50" t="s">
        <v>10</v>
      </c>
      <c r="D48" s="84">
        <f>+MROUND(((D$11*'Fórmula LA'!$D14)/150),0.5)</f>
        <v>1860</v>
      </c>
      <c r="E48" s="60" t="s">
        <v>71</v>
      </c>
      <c r="F48" s="84">
        <f>+MROUND(((F$11*'Fórmula LA'!$D14)/150),0.5)</f>
        <v>0</v>
      </c>
      <c r="G48" s="60" t="s">
        <v>71</v>
      </c>
      <c r="H48" s="84">
        <f>+MROUND(((H$11*'Fórmula LA'!$D14)/150),0.5)</f>
        <v>0</v>
      </c>
      <c r="I48" s="60" t="s">
        <v>71</v>
      </c>
      <c r="J48" s="84">
        <f>+MROUND(((J$11*'Fórmula LA'!$D14)/150),0.5)</f>
        <v>0</v>
      </c>
      <c r="K48" s="60" t="s">
        <v>71</v>
      </c>
      <c r="L48" s="84">
        <f>+MROUND(((L$11*'Fórmula LA'!$D14)/150),0.5)</f>
        <v>0</v>
      </c>
      <c r="M48" s="60" t="s">
        <v>71</v>
      </c>
      <c r="N48" s="84">
        <f>+MROUND(((N$11*'Fórmula LA'!$D14)/150),0.5)</f>
        <v>0</v>
      </c>
      <c r="O48" s="60" t="s">
        <v>71</v>
      </c>
      <c r="P48" s="84">
        <f>+MROUND(((P$11*'Fórmula LA'!$D14)/150),0.5)</f>
        <v>0</v>
      </c>
      <c r="Q48" s="60" t="s">
        <v>71</v>
      </c>
      <c r="R48" s="84">
        <f>+MROUND(((R$11*'Fórmula LA'!$D14)/150),0.5)</f>
        <v>0</v>
      </c>
      <c r="S48" s="60" t="s">
        <v>71</v>
      </c>
      <c r="T48" s="84">
        <f>+MROUND(((T$11*'Fórmula LA'!$D14)/150),0.5)</f>
        <v>0</v>
      </c>
      <c r="U48" s="60" t="s">
        <v>71</v>
      </c>
    </row>
    <row r="49" spans="3:21" x14ac:dyDescent="0.2">
      <c r="C49" s="50" t="s">
        <v>11</v>
      </c>
      <c r="D49" s="73">
        <f>+MROUND(((D$11*'Fórmula LA'!$D15)/150),0.5)</f>
        <v>150</v>
      </c>
      <c r="E49" s="72" t="s">
        <v>71</v>
      </c>
      <c r="F49" s="73">
        <f>+MROUND(((F$11*'Fórmula LA'!$D15)/150),0.5)</f>
        <v>0</v>
      </c>
      <c r="G49" s="72" t="s">
        <v>71</v>
      </c>
      <c r="H49" s="73">
        <f>+MROUND(((H$11*'Fórmula LA'!$D15)/150),0.5)</f>
        <v>0</v>
      </c>
      <c r="I49" s="72" t="s">
        <v>71</v>
      </c>
      <c r="J49" s="73">
        <f>+MROUND(((J$11*'Fórmula LA'!$D15)/150),0.5)</f>
        <v>0</v>
      </c>
      <c r="K49" s="72" t="s">
        <v>71</v>
      </c>
      <c r="L49" s="73">
        <f>+MROUND(((L$11*'Fórmula LA'!$D15)/150),0.5)</f>
        <v>0</v>
      </c>
      <c r="M49" s="72" t="s">
        <v>71</v>
      </c>
      <c r="N49" s="73">
        <f>+MROUND(((N$11*'Fórmula LA'!$D15)/150),0.5)</f>
        <v>0</v>
      </c>
      <c r="O49" s="72" t="s">
        <v>71</v>
      </c>
      <c r="P49" s="73">
        <f>+MROUND(((P$11*'Fórmula LA'!$D15)/150),0.5)</f>
        <v>0</v>
      </c>
      <c r="Q49" s="72" t="s">
        <v>71</v>
      </c>
      <c r="R49" s="73">
        <f>+MROUND(((R$11*'Fórmula LA'!$D15)/150),0.5)</f>
        <v>0</v>
      </c>
      <c r="S49" s="72" t="s">
        <v>71</v>
      </c>
      <c r="T49" s="73">
        <f>+MROUND(((T$11*'Fórmula LA'!$D15)/150),0.5)</f>
        <v>0</v>
      </c>
      <c r="U49" s="72" t="s">
        <v>71</v>
      </c>
    </row>
    <row r="50" spans="3:21" ht="17" thickBot="1" x14ac:dyDescent="0.25">
      <c r="C50" s="51" t="s">
        <v>12</v>
      </c>
      <c r="D50" s="26">
        <f>+MROUND(((D$11*'Fórmula LA'!$D16)/150),0.5)</f>
        <v>1</v>
      </c>
      <c r="E50" s="22" t="s">
        <v>25</v>
      </c>
      <c r="F50" s="26">
        <f>+MROUND(((F$11*'Fórmula LA'!$D16)/150),0.5)</f>
        <v>0</v>
      </c>
      <c r="G50" s="22" t="s">
        <v>25</v>
      </c>
      <c r="H50" s="26">
        <f>+MROUND(((H$11*'Fórmula LA'!$D16)/150),0.5)</f>
        <v>0</v>
      </c>
      <c r="I50" s="22" t="s">
        <v>25</v>
      </c>
      <c r="J50" s="26">
        <f>+MROUND(((J$11*'Fórmula LA'!$D16)/150),0.5)</f>
        <v>0</v>
      </c>
      <c r="K50" s="22" t="s">
        <v>25</v>
      </c>
      <c r="L50" s="26">
        <f>+MROUND(((L$11*'Fórmula LA'!$D16)/150),0.5)</f>
        <v>0</v>
      </c>
      <c r="M50" s="22" t="s">
        <v>25</v>
      </c>
      <c r="N50" s="26">
        <f>+MROUND(((N$11*'Fórmula LA'!$D16)/150),0.5)</f>
        <v>0</v>
      </c>
      <c r="O50" s="22" t="s">
        <v>25</v>
      </c>
      <c r="P50" s="26">
        <f>+MROUND(((P$11*'Fórmula LA'!$D16)/150),0.5)</f>
        <v>0</v>
      </c>
      <c r="Q50" s="22" t="s">
        <v>25</v>
      </c>
      <c r="R50" s="26">
        <f>+MROUND(((R$11*'Fórmula LA'!$D16)/150),0.5)</f>
        <v>0</v>
      </c>
      <c r="S50" s="22" t="s">
        <v>25</v>
      </c>
      <c r="T50" s="26">
        <f>+MROUND(((T$11*'Fórmula LA'!$D16)/150),0.5)</f>
        <v>0</v>
      </c>
      <c r="U50" s="22" t="s">
        <v>25</v>
      </c>
    </row>
    <row r="51" spans="3:21" ht="17" thickBot="1" x14ac:dyDescent="0.25"/>
    <row r="52" spans="3:21" ht="17" thickBot="1" x14ac:dyDescent="0.25">
      <c r="D52" s="210" t="s">
        <v>59</v>
      </c>
      <c r="E52" s="210"/>
      <c r="F52" s="210" t="s">
        <v>66</v>
      </c>
      <c r="G52" s="212"/>
      <c r="H52" s="210" t="s">
        <v>77</v>
      </c>
      <c r="I52" s="212"/>
      <c r="J52" s="215" t="s">
        <v>55</v>
      </c>
      <c r="K52" s="210"/>
      <c r="L52" s="210" t="s">
        <v>56</v>
      </c>
      <c r="M52" s="210"/>
      <c r="N52" s="210" t="s">
        <v>57</v>
      </c>
      <c r="O52" s="210"/>
      <c r="P52" s="210" t="s">
        <v>58</v>
      </c>
      <c r="Q52" s="210"/>
      <c r="R52" s="210" t="s">
        <v>59</v>
      </c>
      <c r="S52" s="210"/>
      <c r="T52" s="210" t="s">
        <v>66</v>
      </c>
      <c r="U52" s="210"/>
    </row>
    <row r="53" spans="3:21" ht="17" thickBot="1" x14ac:dyDescent="0.25">
      <c r="C53" s="7" t="s">
        <v>39</v>
      </c>
      <c r="D53" s="8" t="s">
        <v>70</v>
      </c>
      <c r="E53" s="9" t="s">
        <v>38</v>
      </c>
      <c r="F53" s="8" t="s">
        <v>70</v>
      </c>
      <c r="G53" s="9" t="s">
        <v>38</v>
      </c>
      <c r="H53" s="8" t="s">
        <v>70</v>
      </c>
      <c r="I53" s="9" t="s">
        <v>38</v>
      </c>
      <c r="J53" s="8" t="s">
        <v>70</v>
      </c>
      <c r="K53" s="9" t="s">
        <v>38</v>
      </c>
      <c r="L53" s="8" t="s">
        <v>70</v>
      </c>
      <c r="M53" s="9" t="s">
        <v>38</v>
      </c>
      <c r="N53" s="8" t="s">
        <v>70</v>
      </c>
      <c r="O53" s="9" t="s">
        <v>38</v>
      </c>
      <c r="P53" s="8" t="s">
        <v>70</v>
      </c>
      <c r="Q53" s="9" t="s">
        <v>38</v>
      </c>
      <c r="R53" s="8" t="s">
        <v>70</v>
      </c>
      <c r="S53" s="9" t="s">
        <v>38</v>
      </c>
      <c r="T53" s="8" t="s">
        <v>70</v>
      </c>
      <c r="U53" s="9" t="s">
        <v>38</v>
      </c>
    </row>
    <row r="54" spans="3:21" x14ac:dyDescent="0.2">
      <c r="C54" s="13" t="s">
        <v>1</v>
      </c>
      <c r="D54" s="68">
        <f>+D$23*'Fórmula ARR'!$D5/210</f>
        <v>250.00000000000003</v>
      </c>
      <c r="E54" s="14" t="s">
        <v>20</v>
      </c>
      <c r="F54" s="68">
        <f>+F$23*'Fórmula ARR'!$D5/210</f>
        <v>0</v>
      </c>
      <c r="G54" s="14" t="s">
        <v>20</v>
      </c>
      <c r="H54" s="68">
        <f>+H$23*'Fórmula ARR'!$D5/210</f>
        <v>0</v>
      </c>
      <c r="I54" s="14" t="s">
        <v>20</v>
      </c>
      <c r="J54" s="68">
        <f>+J$23*'Fórmula ARR'!$D5/210</f>
        <v>0</v>
      </c>
      <c r="K54" s="14" t="s">
        <v>20</v>
      </c>
      <c r="L54" s="68">
        <f>+L$23*'Fórmula ARR'!$D5/210</f>
        <v>0</v>
      </c>
      <c r="M54" s="14" t="s">
        <v>20</v>
      </c>
      <c r="N54" s="68">
        <f>+N$23*'Fórmula ARR'!$D5/210</f>
        <v>0</v>
      </c>
      <c r="O54" s="14" t="s">
        <v>20</v>
      </c>
      <c r="P54" s="68">
        <f>+P$23*'Fórmula ARR'!$D5/210</f>
        <v>0</v>
      </c>
      <c r="Q54" s="14" t="s">
        <v>20</v>
      </c>
      <c r="R54" s="68">
        <f>+R$23*'Fórmula ARR'!$D5/210</f>
        <v>0</v>
      </c>
      <c r="S54" s="14" t="s">
        <v>20</v>
      </c>
      <c r="T54" s="68">
        <f>+T$23*'Fórmula ARR'!$D5/210</f>
        <v>0</v>
      </c>
      <c r="U54" s="14" t="s">
        <v>20</v>
      </c>
    </row>
    <row r="55" spans="3:21" x14ac:dyDescent="0.2">
      <c r="C55" s="15" t="s">
        <v>2</v>
      </c>
      <c r="D55" s="71">
        <f>+D$23*'Fórmula ARR'!$D6/210/10000</f>
        <v>8.3333333333333357</v>
      </c>
      <c r="E55" s="72" t="s">
        <v>110</v>
      </c>
      <c r="F55" s="71">
        <f>+F$23*'Fórmula ARR'!$D6/210/10000</f>
        <v>0</v>
      </c>
      <c r="G55" s="72" t="s">
        <v>110</v>
      </c>
      <c r="H55" s="71">
        <f>+H$23*'Fórmula ARR'!$D6/210/10000</f>
        <v>0</v>
      </c>
      <c r="I55" s="72" t="s">
        <v>110</v>
      </c>
      <c r="J55" s="71">
        <f>+J$23*'Fórmula ARR'!$D6/210/10000</f>
        <v>0</v>
      </c>
      <c r="K55" s="72" t="s">
        <v>110</v>
      </c>
      <c r="L55" s="71">
        <f>+L$23*'Fórmula ARR'!$D6/210/10000</f>
        <v>0</v>
      </c>
      <c r="M55" s="72" t="s">
        <v>110</v>
      </c>
      <c r="N55" s="71">
        <f>+N$23*'Fórmula ARR'!$D6/210/10000</f>
        <v>0</v>
      </c>
      <c r="O55" s="72" t="s">
        <v>110</v>
      </c>
      <c r="P55" s="71">
        <f>+P$23*'Fórmula ARR'!$D6/210/10000</f>
        <v>0</v>
      </c>
      <c r="Q55" s="72" t="s">
        <v>110</v>
      </c>
      <c r="R55" s="71">
        <f>+R$23*'Fórmula ARR'!$D6/210/10000</f>
        <v>0</v>
      </c>
      <c r="S55" s="72" t="s">
        <v>110</v>
      </c>
      <c r="T55" s="71">
        <f>+T$23*'Fórmula ARR'!$D6/210/10000</f>
        <v>0</v>
      </c>
      <c r="U55" s="72" t="s">
        <v>110</v>
      </c>
    </row>
    <row r="56" spans="3:21" x14ac:dyDescent="0.2">
      <c r="C56" s="15" t="s">
        <v>47</v>
      </c>
      <c r="D56" s="69">
        <f>+D$23*'Fórmula ARR'!$D7/210</f>
        <v>50.000000000000007</v>
      </c>
      <c r="E56" s="16" t="s">
        <v>22</v>
      </c>
      <c r="F56" s="69">
        <f>+F$23*'Fórmula ARR'!$D7/210</f>
        <v>0</v>
      </c>
      <c r="G56" s="16" t="s">
        <v>22</v>
      </c>
      <c r="H56" s="69">
        <f>+H$23*'Fórmula ARR'!$D7/210</f>
        <v>0</v>
      </c>
      <c r="I56" s="16" t="s">
        <v>22</v>
      </c>
      <c r="J56" s="69">
        <f>+J$23*'Fórmula ARR'!$D7/210</f>
        <v>0</v>
      </c>
      <c r="K56" s="16" t="s">
        <v>22</v>
      </c>
      <c r="L56" s="69">
        <f>+L$23*'Fórmula ARR'!$D7/210</f>
        <v>0</v>
      </c>
      <c r="M56" s="16" t="s">
        <v>22</v>
      </c>
      <c r="N56" s="69">
        <f>+N$23*'Fórmula ARR'!$D7/210</f>
        <v>0</v>
      </c>
      <c r="O56" s="16" t="s">
        <v>22</v>
      </c>
      <c r="P56" s="69">
        <f>+P$23*'Fórmula ARR'!$D7/210</f>
        <v>0</v>
      </c>
      <c r="Q56" s="16" t="s">
        <v>22</v>
      </c>
      <c r="R56" s="69">
        <f>+R$23*'Fórmula ARR'!$D7/210</f>
        <v>0</v>
      </c>
      <c r="S56" s="16" t="s">
        <v>22</v>
      </c>
      <c r="T56" s="69">
        <f>+T$23*'Fórmula ARR'!$D7/210</f>
        <v>0</v>
      </c>
      <c r="U56" s="16" t="s">
        <v>22</v>
      </c>
    </row>
    <row r="57" spans="3:21" x14ac:dyDescent="0.2">
      <c r="C57" s="15" t="s">
        <v>4</v>
      </c>
      <c r="D57" s="71">
        <f>+D$23*'Fórmula ARR'!$D8/210</f>
        <v>36.666666666666679</v>
      </c>
      <c r="E57" s="72" t="s">
        <v>22</v>
      </c>
      <c r="F57" s="71">
        <f>+F$23*'Fórmula ARR'!$D8/210</f>
        <v>0</v>
      </c>
      <c r="G57" s="72" t="s">
        <v>22</v>
      </c>
      <c r="H57" s="71">
        <f>+H$23*'Fórmula ARR'!$D8/210</f>
        <v>0</v>
      </c>
      <c r="I57" s="72" t="s">
        <v>22</v>
      </c>
      <c r="J57" s="71">
        <f>+J$23*'Fórmula ARR'!$D8/210</f>
        <v>0</v>
      </c>
      <c r="K57" s="72" t="s">
        <v>22</v>
      </c>
      <c r="L57" s="71">
        <f>+L$23*'Fórmula ARR'!$D8/210</f>
        <v>0</v>
      </c>
      <c r="M57" s="72" t="s">
        <v>22</v>
      </c>
      <c r="N57" s="71">
        <f>+N$23*'Fórmula ARR'!$D8/210</f>
        <v>0</v>
      </c>
      <c r="O57" s="72" t="s">
        <v>22</v>
      </c>
      <c r="P57" s="71">
        <f>+P$23*'Fórmula ARR'!$D8/210</f>
        <v>0</v>
      </c>
      <c r="Q57" s="72" t="s">
        <v>22</v>
      </c>
      <c r="R57" s="71">
        <f>+R$23*'Fórmula ARR'!$D8/210</f>
        <v>0</v>
      </c>
      <c r="S57" s="72" t="s">
        <v>22</v>
      </c>
      <c r="T57" s="71">
        <f>+T$23*'Fórmula ARR'!$D8/210</f>
        <v>0</v>
      </c>
      <c r="U57" s="72" t="s">
        <v>22</v>
      </c>
    </row>
    <row r="58" spans="3:21" ht="17" thickBot="1" x14ac:dyDescent="0.25">
      <c r="C58" s="17" t="s">
        <v>48</v>
      </c>
      <c r="D58" s="70">
        <f>+MROUND(D$23*'Fórmula ARR'!$D9/210,0.5)</f>
        <v>833.5</v>
      </c>
      <c r="E58" s="18" t="s">
        <v>21</v>
      </c>
      <c r="F58" s="70">
        <f>+MROUND(F$23*'Fórmula ARR'!$D9/210,0.5)</f>
        <v>0</v>
      </c>
      <c r="G58" s="18" t="s">
        <v>21</v>
      </c>
      <c r="H58" s="70">
        <f>+MROUND(H$23*'Fórmula ARR'!$D9/210,0.5)</f>
        <v>0</v>
      </c>
      <c r="I58" s="18" t="s">
        <v>21</v>
      </c>
      <c r="J58" s="70">
        <f>+MROUND(J$23*'Fórmula ARR'!$D9/210,0.5)</f>
        <v>0</v>
      </c>
      <c r="K58" s="18" t="s">
        <v>21</v>
      </c>
      <c r="L58" s="70">
        <f>+MROUND(L$23*'Fórmula ARR'!$D9/210,0.5)</f>
        <v>0</v>
      </c>
      <c r="M58" s="18" t="s">
        <v>21</v>
      </c>
      <c r="N58" s="70">
        <f>+MROUND(N$23*'Fórmula ARR'!$D9/210,0.5)</f>
        <v>0</v>
      </c>
      <c r="O58" s="18" t="s">
        <v>21</v>
      </c>
      <c r="P58" s="70">
        <f>+MROUND(P$23*'Fórmula ARR'!$D9/210,0.5)</f>
        <v>0</v>
      </c>
      <c r="Q58" s="18" t="s">
        <v>21</v>
      </c>
      <c r="R58" s="70">
        <f>+MROUND(R$23*'Fórmula ARR'!$D9/210,0.5)</f>
        <v>0</v>
      </c>
      <c r="S58" s="18" t="s">
        <v>21</v>
      </c>
      <c r="T58" s="70">
        <f>+MROUND(T$23*'Fórmula ARR'!$D9/210,0.5)</f>
        <v>0</v>
      </c>
      <c r="U58" s="18" t="s">
        <v>21</v>
      </c>
    </row>
    <row r="59" spans="3:21" x14ac:dyDescent="0.2">
      <c r="C59" s="13" t="s">
        <v>6</v>
      </c>
      <c r="D59" s="2">
        <f>+MROUND(((D$23*'Fórmula ARR'!$D10)/210),1)</f>
        <v>467</v>
      </c>
      <c r="E59" s="21" t="s">
        <v>21</v>
      </c>
      <c r="F59" s="2">
        <f>+MROUND(((F$23*'Fórmula ARR'!$D10)/210),1)</f>
        <v>0</v>
      </c>
      <c r="G59" s="21" t="s">
        <v>21</v>
      </c>
      <c r="H59" s="2">
        <f>+MROUND(((H$23*'Fórmula ARR'!$D10)/210),1)</f>
        <v>0</v>
      </c>
      <c r="I59" s="21" t="s">
        <v>21</v>
      </c>
      <c r="J59" s="2">
        <f>+MROUND(((J$23*'Fórmula ARR'!$D10)/210),1)</f>
        <v>0</v>
      </c>
      <c r="K59" s="21" t="s">
        <v>21</v>
      </c>
      <c r="L59" s="2">
        <f>+MROUND(((L$23*'Fórmula ARR'!$D10)/210),1)</f>
        <v>0</v>
      </c>
      <c r="M59" s="21" t="s">
        <v>21</v>
      </c>
      <c r="N59" s="2">
        <f>+MROUND(((N$23*'Fórmula ARR'!$D10)/210),1)</f>
        <v>0</v>
      </c>
      <c r="O59" s="21" t="s">
        <v>21</v>
      </c>
      <c r="P59" s="2">
        <f>+MROUND(((P$23*'Fórmula ARR'!$D10)/210),1)</f>
        <v>0</v>
      </c>
      <c r="Q59" s="21" t="s">
        <v>21</v>
      </c>
      <c r="R59" s="2">
        <f>+MROUND(((R$23*'Fórmula ARR'!$D10)/210),1)</f>
        <v>0</v>
      </c>
      <c r="S59" s="21" t="s">
        <v>21</v>
      </c>
      <c r="T59" s="2">
        <f>+MROUND(((T$23*'Fórmula ARR'!$D10)/210),1)</f>
        <v>0</v>
      </c>
      <c r="U59" s="21" t="s">
        <v>21</v>
      </c>
    </row>
    <row r="60" spans="3:21" ht="17" thickBot="1" x14ac:dyDescent="0.25">
      <c r="C60" s="17" t="s">
        <v>7</v>
      </c>
      <c r="D60" s="74">
        <f>+MROUND(((D$23*'Fórmula ARR'!$D11)/210),1)</f>
        <v>467</v>
      </c>
      <c r="E60" s="75" t="s">
        <v>21</v>
      </c>
      <c r="F60" s="74">
        <f>+MROUND(((F$23*'Fórmula ARR'!$D11)/210),1)</f>
        <v>0</v>
      </c>
      <c r="G60" s="75" t="s">
        <v>21</v>
      </c>
      <c r="H60" s="74">
        <f>+MROUND(((H$23*'Fórmula ARR'!$D11)/210),1)</f>
        <v>0</v>
      </c>
      <c r="I60" s="75" t="s">
        <v>21</v>
      </c>
      <c r="J60" s="74">
        <f>+MROUND(((J$23*'Fórmula ARR'!$D11)/210),1)</f>
        <v>0</v>
      </c>
      <c r="K60" s="75" t="s">
        <v>21</v>
      </c>
      <c r="L60" s="74">
        <f>+MROUND(((L$23*'Fórmula ARR'!$D11)/210),1)</f>
        <v>0</v>
      </c>
      <c r="M60" s="75" t="s">
        <v>21</v>
      </c>
      <c r="N60" s="74">
        <f>+MROUND(((N$23*'Fórmula ARR'!$D11)/210),1)</f>
        <v>0</v>
      </c>
      <c r="O60" s="75" t="s">
        <v>21</v>
      </c>
      <c r="P60" s="74">
        <f>+MROUND(((P$23*'Fórmula ARR'!$D11)/210),1)</f>
        <v>0</v>
      </c>
      <c r="Q60" s="75" t="s">
        <v>21</v>
      </c>
      <c r="R60" s="74">
        <f>+MROUND(((R$23*'Fórmula ARR'!$D11)/210),1)</f>
        <v>0</v>
      </c>
      <c r="S60" s="75" t="s">
        <v>21</v>
      </c>
      <c r="T60" s="74">
        <f>+MROUND(((T$23*'Fórmula ARR'!$D11)/210),1)</f>
        <v>0</v>
      </c>
      <c r="U60" s="75" t="s">
        <v>21</v>
      </c>
    </row>
    <row r="61" spans="3:21" x14ac:dyDescent="0.2">
      <c r="C61" s="13" t="s">
        <v>49</v>
      </c>
      <c r="D61" s="23">
        <f>+MROUND(((D$23*'Fórmula ARR'!$D12)/210),0.5)</f>
        <v>3666.5</v>
      </c>
      <c r="E61" s="21" t="s">
        <v>24</v>
      </c>
      <c r="F61" s="23">
        <f>+MROUND(((F$23*'Fórmula ARR'!$D12)/210),0.5)</f>
        <v>0</v>
      </c>
      <c r="G61" s="21" t="s">
        <v>24</v>
      </c>
      <c r="H61" s="23">
        <f>+MROUND(((H$23*'Fórmula ARR'!$D12)/210),0.5)</f>
        <v>0</v>
      </c>
      <c r="I61" s="21" t="s">
        <v>24</v>
      </c>
      <c r="J61" s="23">
        <f>+MROUND(((J$23*'Fórmula ARR'!$D12)/210),0.5)</f>
        <v>0</v>
      </c>
      <c r="K61" s="21" t="s">
        <v>24</v>
      </c>
      <c r="L61" s="23">
        <f>+MROUND(((L$23*'Fórmula ARR'!$D12)/210),0.5)</f>
        <v>0</v>
      </c>
      <c r="M61" s="21" t="s">
        <v>24</v>
      </c>
      <c r="N61" s="23">
        <f>+MROUND(((N$23*'Fórmula ARR'!$D12)/210),0.5)</f>
        <v>0</v>
      </c>
      <c r="O61" s="21" t="s">
        <v>24</v>
      </c>
      <c r="P61" s="23">
        <f>+MROUND(((P$23*'Fórmula ARR'!$D12)/210),0.5)</f>
        <v>0</v>
      </c>
      <c r="Q61" s="21" t="s">
        <v>24</v>
      </c>
      <c r="R61" s="23">
        <f>+MROUND(((R$23*'Fórmula ARR'!$D12)/210),0.5)</f>
        <v>0</v>
      </c>
      <c r="S61" s="21" t="s">
        <v>24</v>
      </c>
      <c r="T61" s="23">
        <f>+MROUND(((T$23*'Fórmula ARR'!$D12)/210),0.5)</f>
        <v>0</v>
      </c>
      <c r="U61" s="21" t="s">
        <v>24</v>
      </c>
    </row>
    <row r="62" spans="3:21" ht="17" thickBot="1" x14ac:dyDescent="0.25">
      <c r="C62" s="17" t="s">
        <v>50</v>
      </c>
      <c r="D62" s="85">
        <f>+MROUND(((D$23*'Fórmula ARR'!$D13)/210),0.5)</f>
        <v>3750</v>
      </c>
      <c r="E62" s="75" t="s">
        <v>24</v>
      </c>
      <c r="F62" s="85">
        <f>+MROUND(((F$23*'Fórmula ARR'!$D13)/210),0.5)</f>
        <v>0</v>
      </c>
      <c r="G62" s="75" t="s">
        <v>24</v>
      </c>
      <c r="H62" s="85">
        <f>+MROUND(((H$23*'Fórmula ARR'!$D13)/210),0.5)</f>
        <v>0</v>
      </c>
      <c r="I62" s="75" t="s">
        <v>24</v>
      </c>
      <c r="J62" s="85">
        <f>+MROUND(((J$23*'Fórmula ARR'!$D13)/210),0.5)</f>
        <v>0</v>
      </c>
      <c r="K62" s="75" t="s">
        <v>24</v>
      </c>
      <c r="L62" s="85">
        <f>+MROUND(((L$23*'Fórmula ARR'!$D13)/210),0.5)</f>
        <v>0</v>
      </c>
      <c r="M62" s="75" t="s">
        <v>24</v>
      </c>
      <c r="N62" s="85">
        <f>+MROUND(((N$23*'Fórmula ARR'!$D13)/210),0.5)</f>
        <v>0</v>
      </c>
      <c r="O62" s="75" t="s">
        <v>24</v>
      </c>
      <c r="P62" s="85">
        <f>+MROUND(((P$23*'Fórmula ARR'!$D13)/210),0.5)</f>
        <v>0</v>
      </c>
      <c r="Q62" s="75" t="s">
        <v>24</v>
      </c>
      <c r="R62" s="85">
        <f>+MROUND(((R$23*'Fórmula ARR'!$D13)/210),0.5)</f>
        <v>0</v>
      </c>
      <c r="S62" s="75" t="s">
        <v>24</v>
      </c>
      <c r="T62" s="85">
        <f>+MROUND(((T$23*'Fórmula ARR'!$D13)/210),0.5)</f>
        <v>0</v>
      </c>
      <c r="U62" s="75" t="s">
        <v>24</v>
      </c>
    </row>
    <row r="63" spans="3:21" x14ac:dyDescent="0.2">
      <c r="C63" s="53" t="s">
        <v>11</v>
      </c>
      <c r="D63" s="84">
        <f>+MROUND(((D$23*'Fórmula ARR'!$D14)/210),0.5)</f>
        <v>305.5</v>
      </c>
      <c r="E63" s="60" t="s">
        <v>24</v>
      </c>
      <c r="F63" s="84">
        <f>+MROUND(((F$23*'Fórmula ARR'!$D14)/210),0.5)</f>
        <v>0</v>
      </c>
      <c r="G63" s="60" t="s">
        <v>24</v>
      </c>
      <c r="H63" s="84">
        <f>+MROUND(((H$23*'Fórmula ARR'!$D14)/210),0.5)</f>
        <v>0</v>
      </c>
      <c r="I63" s="60" t="s">
        <v>24</v>
      </c>
      <c r="J63" s="84">
        <f>+MROUND(((J$23*'Fórmula ARR'!$D14)/210),0.5)</f>
        <v>0</v>
      </c>
      <c r="K63" s="60" t="s">
        <v>24</v>
      </c>
      <c r="L63" s="84">
        <f>+MROUND(((L$23*'Fórmula ARR'!$D14)/210),0.5)</f>
        <v>0</v>
      </c>
      <c r="M63" s="60" t="s">
        <v>24</v>
      </c>
      <c r="N63" s="84">
        <f>+MROUND(((N$23*'Fórmula ARR'!$D14)/210),0.5)</f>
        <v>0</v>
      </c>
      <c r="O63" s="60" t="s">
        <v>24</v>
      </c>
      <c r="P63" s="84">
        <f>+MROUND(((P$23*'Fórmula ARR'!$D14)/210),0.5)</f>
        <v>0</v>
      </c>
      <c r="Q63" s="60" t="s">
        <v>24</v>
      </c>
      <c r="R63" s="84">
        <f>+MROUND(((R$23*'Fórmula ARR'!$D14)/210),0.5)</f>
        <v>0</v>
      </c>
      <c r="S63" s="60" t="s">
        <v>24</v>
      </c>
      <c r="T63" s="84">
        <f>+MROUND(((T$23*'Fórmula ARR'!$D14)/210),0.5)</f>
        <v>0</v>
      </c>
      <c r="U63" s="60" t="s">
        <v>24</v>
      </c>
    </row>
    <row r="64" spans="3:21" x14ac:dyDescent="0.2">
      <c r="C64" s="50" t="s">
        <v>12</v>
      </c>
      <c r="D64" s="73">
        <f>+((D$23*'Fórmula ARR'!$D15)/210)</f>
        <v>1.3888888888888891</v>
      </c>
      <c r="E64" s="72" t="s">
        <v>24</v>
      </c>
      <c r="F64" s="73">
        <f>+((F$23*'Fórmula ARR'!$D15)/210)</f>
        <v>0</v>
      </c>
      <c r="G64" s="72" t="s">
        <v>24</v>
      </c>
      <c r="H64" s="73">
        <f>+((H$23*'Fórmula ARR'!$D15)/210)</f>
        <v>0</v>
      </c>
      <c r="I64" s="72" t="s">
        <v>24</v>
      </c>
      <c r="J64" s="73">
        <f>+((J$23*'Fórmula ARR'!$D15)/210)</f>
        <v>0</v>
      </c>
      <c r="K64" s="72" t="s">
        <v>24</v>
      </c>
      <c r="L64" s="73">
        <f>+((L$23*'Fórmula ARR'!$D15)/210)</f>
        <v>0</v>
      </c>
      <c r="M64" s="72" t="s">
        <v>24</v>
      </c>
      <c r="N64" s="73">
        <f>+((N$23*'Fórmula ARR'!$D15)/210)</f>
        <v>0</v>
      </c>
      <c r="O64" s="72" t="s">
        <v>24</v>
      </c>
      <c r="P64" s="73">
        <f>+((P$23*'Fórmula ARR'!$D15)/210)</f>
        <v>0</v>
      </c>
      <c r="Q64" s="72" t="s">
        <v>24</v>
      </c>
      <c r="R64" s="73">
        <f>+((R$23*'Fórmula ARR'!$D15)/210)</f>
        <v>0</v>
      </c>
      <c r="S64" s="72" t="s">
        <v>24</v>
      </c>
      <c r="T64" s="73">
        <f>+((T$23*'Fórmula ARR'!$D15)/210)</f>
        <v>0</v>
      </c>
      <c r="U64" s="72" t="s">
        <v>24</v>
      </c>
    </row>
    <row r="67" spans="14:14" x14ac:dyDescent="0.2">
      <c r="N67" s="116"/>
    </row>
  </sheetData>
  <mergeCells count="60">
    <mergeCell ref="T4:U5"/>
    <mergeCell ref="R1:U3"/>
    <mergeCell ref="T6:U6"/>
    <mergeCell ref="R37:S37"/>
    <mergeCell ref="P37:Q37"/>
    <mergeCell ref="R33:S33"/>
    <mergeCell ref="B1:C6"/>
    <mergeCell ref="D1:Q6"/>
    <mergeCell ref="R6:S6"/>
    <mergeCell ref="R4:S5"/>
    <mergeCell ref="J52:K52"/>
    <mergeCell ref="L52:M52"/>
    <mergeCell ref="N52:O52"/>
    <mergeCell ref="J8:K8"/>
    <mergeCell ref="L8:M8"/>
    <mergeCell ref="N33:O33"/>
    <mergeCell ref="L37:M37"/>
    <mergeCell ref="N37:O37"/>
    <mergeCell ref="B22:B24"/>
    <mergeCell ref="B17:C17"/>
    <mergeCell ref="B18:C18"/>
    <mergeCell ref="B19:C19"/>
    <mergeCell ref="B14:C14"/>
    <mergeCell ref="T8:U8"/>
    <mergeCell ref="T33:U33"/>
    <mergeCell ref="T37:U37"/>
    <mergeCell ref="B28:C28"/>
    <mergeCell ref="B29:C29"/>
    <mergeCell ref="B30:C30"/>
    <mergeCell ref="B31:C31"/>
    <mergeCell ref="D37:E37"/>
    <mergeCell ref="N8:O8"/>
    <mergeCell ref="P8:Q8"/>
    <mergeCell ref="R8:S8"/>
    <mergeCell ref="B27:C27"/>
    <mergeCell ref="B15:C15"/>
    <mergeCell ref="B8:C8"/>
    <mergeCell ref="B9:C9"/>
    <mergeCell ref="B10:B12"/>
    <mergeCell ref="T52:U52"/>
    <mergeCell ref="B16:C16"/>
    <mergeCell ref="D52:E52"/>
    <mergeCell ref="F52:G52"/>
    <mergeCell ref="H52:I52"/>
    <mergeCell ref="B33:C33"/>
    <mergeCell ref="J37:K37"/>
    <mergeCell ref="F37:G37"/>
    <mergeCell ref="H37:I37"/>
    <mergeCell ref="B26:C26"/>
    <mergeCell ref="P52:Q52"/>
    <mergeCell ref="R52:S52"/>
    <mergeCell ref="L33:M33"/>
    <mergeCell ref="J33:K33"/>
    <mergeCell ref="P33:Q33"/>
    <mergeCell ref="D8:E8"/>
    <mergeCell ref="F8:G8"/>
    <mergeCell ref="H8:I8"/>
    <mergeCell ref="D33:E33"/>
    <mergeCell ref="F33:G33"/>
    <mergeCell ref="H33:I33"/>
  </mergeCells>
  <phoneticPr fontId="7" type="noConversion"/>
  <conditionalFormatting sqref="D14">
    <cfRule type="cellIs" dxfId="57" priority="19" operator="lessThan">
      <formula>D15</formula>
    </cfRule>
    <cfRule type="cellIs" dxfId="56" priority="38" operator="lessThan">
      <formula>$D$15</formula>
    </cfRule>
  </conditionalFormatting>
  <conditionalFormatting sqref="H14">
    <cfRule type="cellIs" dxfId="55" priority="17" operator="lessThan">
      <formula>$H$15</formula>
    </cfRule>
    <cfRule type="cellIs" dxfId="54" priority="36" operator="lessThan">
      <formula>$F$15</formula>
    </cfRule>
  </conditionalFormatting>
  <conditionalFormatting sqref="J14">
    <cfRule type="cellIs" dxfId="53" priority="16" operator="lessThan">
      <formula>$J$15</formula>
    </cfRule>
    <cfRule type="cellIs" dxfId="52" priority="35" operator="lessThan">
      <formula>$F$15</formula>
    </cfRule>
  </conditionalFormatting>
  <conditionalFormatting sqref="L14">
    <cfRule type="cellIs" dxfId="51" priority="14" operator="lessThan">
      <formula>$L$15</formula>
    </cfRule>
    <cfRule type="cellIs" dxfId="50" priority="15" operator="lessThan">
      <formula>$L$15</formula>
    </cfRule>
    <cfRule type="cellIs" dxfId="49" priority="34" operator="lessThan">
      <formula>$F$15</formula>
    </cfRule>
  </conditionalFormatting>
  <conditionalFormatting sqref="N14">
    <cfRule type="cellIs" dxfId="48" priority="13" operator="lessThan">
      <formula>$N$15</formula>
    </cfRule>
    <cfRule type="cellIs" dxfId="47" priority="33" operator="lessThan">
      <formula>$F$15</formula>
    </cfRule>
  </conditionalFormatting>
  <conditionalFormatting sqref="P14">
    <cfRule type="cellIs" dxfId="46" priority="12" operator="lessThan">
      <formula>$P$15</formula>
    </cfRule>
    <cfRule type="cellIs" dxfId="45" priority="32" operator="lessThan">
      <formula>$F$15</formula>
    </cfRule>
  </conditionalFormatting>
  <conditionalFormatting sqref="R14">
    <cfRule type="cellIs" dxfId="44" priority="11" operator="lessThan">
      <formula>$R$15</formula>
    </cfRule>
    <cfRule type="cellIs" dxfId="43" priority="31" operator="lessThan">
      <formula>$F$15</formula>
    </cfRule>
  </conditionalFormatting>
  <conditionalFormatting sqref="R26">
    <cfRule type="cellIs" dxfId="42" priority="2" operator="lessThan">
      <formula>$R$27</formula>
    </cfRule>
    <cfRule type="cellIs" dxfId="41" priority="30" operator="lessThan">
      <formula>$F$15</formula>
    </cfRule>
  </conditionalFormatting>
  <conditionalFormatting sqref="P26">
    <cfRule type="cellIs" dxfId="40" priority="3" operator="lessThan">
      <formula>$P$27</formula>
    </cfRule>
    <cfRule type="cellIs" dxfId="39" priority="29" operator="lessThan">
      <formula>$F$15</formula>
    </cfRule>
  </conditionalFormatting>
  <conditionalFormatting sqref="N26">
    <cfRule type="cellIs" dxfId="38" priority="4" operator="lessThan">
      <formula>$N$27</formula>
    </cfRule>
    <cfRule type="cellIs" dxfId="37" priority="28" operator="lessThan">
      <formula>$F$15</formula>
    </cfRule>
  </conditionalFormatting>
  <conditionalFormatting sqref="L26">
    <cfRule type="cellIs" dxfId="36" priority="5" operator="lessThan">
      <formula>$L$27</formula>
    </cfRule>
    <cfRule type="cellIs" dxfId="35" priority="27" operator="lessThan">
      <formula>$F$15</formula>
    </cfRule>
  </conditionalFormatting>
  <conditionalFormatting sqref="J26">
    <cfRule type="cellIs" dxfId="34" priority="6" operator="lessThan">
      <formula>$J$27</formula>
    </cfRule>
    <cfRule type="cellIs" dxfId="33" priority="26" operator="lessThan">
      <formula>$F$15</formula>
    </cfRule>
  </conditionalFormatting>
  <conditionalFormatting sqref="H26">
    <cfRule type="cellIs" dxfId="32" priority="7" operator="lessThan">
      <formula>$H$27</formula>
    </cfRule>
    <cfRule type="cellIs" dxfId="31" priority="25" operator="lessThan">
      <formula>$F$15</formula>
    </cfRule>
  </conditionalFormatting>
  <conditionalFormatting sqref="F26">
    <cfRule type="cellIs" dxfId="30" priority="8" operator="lessThan">
      <formula>$F$27</formula>
    </cfRule>
    <cfRule type="cellIs" dxfId="29" priority="24" operator="lessThan">
      <formula>$F$15</formula>
    </cfRule>
  </conditionalFormatting>
  <conditionalFormatting sqref="F14">
    <cfRule type="cellIs" dxfId="28" priority="18" operator="lessThan">
      <formula>$F$15</formula>
    </cfRule>
    <cfRule type="cellIs" dxfId="27" priority="23" operator="lessThan">
      <formula>$F$15</formula>
    </cfRule>
  </conditionalFormatting>
  <conditionalFormatting sqref="D26">
    <cfRule type="cellIs" dxfId="26" priority="9" operator="lessThan">
      <formula>$D$27</formula>
    </cfRule>
    <cfRule type="cellIs" dxfId="25" priority="22" operator="lessThan">
      <formula>$D$15</formula>
    </cfRule>
  </conditionalFormatting>
  <conditionalFormatting sqref="T14">
    <cfRule type="cellIs" dxfId="24" priority="10" operator="lessThan">
      <formula>$T$15</formula>
    </cfRule>
    <cfRule type="cellIs" dxfId="23" priority="21" operator="lessThan">
      <formula>$F$15</formula>
    </cfRule>
  </conditionalFormatting>
  <conditionalFormatting sqref="T26">
    <cfRule type="cellIs" dxfId="22" priority="1" operator="lessThan">
      <formula>$T$27</formula>
    </cfRule>
    <cfRule type="cellIs" dxfId="21" priority="20" operator="lessThan">
      <formula>$F$15</formula>
    </cfRule>
  </conditionalFormatting>
  <pageMargins left="0.7" right="0.7" top="0.75" bottom="0.75" header="0.3" footer="0.3"/>
  <pageSetup orientation="portrait" r:id="rId1"/>
  <ignoredErrors>
    <ignoredError sqref="J22:S22 J11:S12 J24:O24 K23 M23 O23 Q23 S23 Q24:S24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C1:I21"/>
  <sheetViews>
    <sheetView showGridLines="0" zoomScale="110" zoomScaleNormal="110" workbookViewId="0">
      <selection activeCell="A5" sqref="A5:XFD5"/>
    </sheetView>
  </sheetViews>
  <sheetFormatPr baseColWidth="10" defaultColWidth="10.83203125" defaultRowHeight="16" x14ac:dyDescent="0.2"/>
  <cols>
    <col min="1" max="1" width="10.83203125" style="4"/>
    <col min="2" max="2" width="10.83203125" style="4" customWidth="1"/>
    <col min="3" max="9" width="16.1640625" style="4" customWidth="1"/>
    <col min="10" max="16384" width="10.83203125" style="4"/>
  </cols>
  <sheetData>
    <row r="1" spans="3:9" ht="17" thickBot="1" x14ac:dyDescent="0.25"/>
    <row r="2" spans="3:9" ht="29.25" customHeight="1" thickBot="1" x14ac:dyDescent="0.25">
      <c r="C2" s="240" t="s">
        <v>51</v>
      </c>
      <c r="D2" s="241"/>
      <c r="E2" s="242"/>
      <c r="G2" s="240" t="s">
        <v>52</v>
      </c>
      <c r="H2" s="241"/>
      <c r="I2" s="242"/>
    </row>
    <row r="3" spans="3:9" ht="18.5" customHeight="1" x14ac:dyDescent="0.2">
      <c r="C3" s="238" t="s">
        <v>34</v>
      </c>
      <c r="D3" s="239"/>
      <c r="E3" s="5" t="s">
        <v>35</v>
      </c>
      <c r="G3" s="238" t="s">
        <v>34</v>
      </c>
      <c r="H3" s="239"/>
      <c r="I3" s="5" t="s">
        <v>53</v>
      </c>
    </row>
    <row r="4" spans="3:9" ht="20" thickBot="1" x14ac:dyDescent="0.25">
      <c r="C4" s="236">
        <f>+SUM('Planeación Pedido'!J15:S15)</f>
        <v>0</v>
      </c>
      <c r="D4" s="237"/>
      <c r="E4" s="6">
        <f>C4*12</f>
        <v>0</v>
      </c>
      <c r="G4" s="236">
        <f>+SUM('Planeación Pedido'!J27:S27)</f>
        <v>0</v>
      </c>
      <c r="H4" s="237"/>
      <c r="I4" s="6">
        <f>G4*12</f>
        <v>0</v>
      </c>
    </row>
    <row r="5" spans="3:9" ht="17" thickBot="1" x14ac:dyDescent="0.25"/>
    <row r="6" spans="3:9" ht="30" customHeight="1" thickBot="1" x14ac:dyDescent="0.25">
      <c r="C6" s="7" t="s">
        <v>39</v>
      </c>
      <c r="D6" s="8" t="s">
        <v>37</v>
      </c>
      <c r="E6" s="9" t="s">
        <v>38</v>
      </c>
      <c r="G6" s="7" t="s">
        <v>39</v>
      </c>
      <c r="H6" s="8" t="s">
        <v>37</v>
      </c>
      <c r="I6" s="9" t="s">
        <v>38</v>
      </c>
    </row>
    <row r="7" spans="3:9" ht="16" customHeight="1" thickBot="1" x14ac:dyDescent="0.25">
      <c r="C7" s="10"/>
      <c r="D7" s="11" t="s">
        <v>36</v>
      </c>
      <c r="E7" s="12"/>
      <c r="F7" s="109" t="s">
        <v>68</v>
      </c>
      <c r="G7" s="82"/>
      <c r="H7" s="81" t="s">
        <v>36</v>
      </c>
      <c r="I7" s="83"/>
    </row>
    <row r="8" spans="3:9" x14ac:dyDescent="0.2">
      <c r="C8" s="13" t="s">
        <v>1</v>
      </c>
      <c r="D8" s="63">
        <f>($E$4*'Fórmula LA'!$D$5)/150</f>
        <v>0</v>
      </c>
      <c r="E8" s="95" t="s">
        <v>20</v>
      </c>
      <c r="F8" s="106">
        <f>+H8+D8</f>
        <v>0</v>
      </c>
      <c r="G8" s="101" t="s">
        <v>1</v>
      </c>
      <c r="H8" s="54">
        <f>+$I$4*'Fórmula ARR'!D5/210</f>
        <v>0</v>
      </c>
      <c r="I8" s="55" t="s">
        <v>20</v>
      </c>
    </row>
    <row r="9" spans="3:9" x14ac:dyDescent="0.2">
      <c r="C9" s="15" t="s">
        <v>2</v>
      </c>
      <c r="D9" s="64">
        <f>+($E$4*'Fórmula LA'!$D$6)/150/10000</f>
        <v>0</v>
      </c>
      <c r="E9" s="96" t="s">
        <v>44</v>
      </c>
      <c r="F9" s="107">
        <f>+H9+D9</f>
        <v>0</v>
      </c>
      <c r="G9" s="102" t="s">
        <v>2</v>
      </c>
      <c r="H9" s="52">
        <f>+$I$4*'Fórmula ARR'!D6/210/10000</f>
        <v>0</v>
      </c>
      <c r="I9" s="16" t="s">
        <v>54</v>
      </c>
    </row>
    <row r="10" spans="3:9" x14ac:dyDescent="0.2">
      <c r="C10" s="15" t="s">
        <v>3</v>
      </c>
      <c r="D10" s="64">
        <f>+($E$4*'Fórmula LA'!$D$7)/150/10</f>
        <v>0</v>
      </c>
      <c r="E10" s="96" t="s">
        <v>44</v>
      </c>
      <c r="F10" s="107"/>
      <c r="G10" s="102" t="s">
        <v>47</v>
      </c>
      <c r="H10" s="52">
        <f>+$I$4*'Fórmula ARR'!D7/210</f>
        <v>0</v>
      </c>
      <c r="I10" s="16" t="s">
        <v>22</v>
      </c>
    </row>
    <row r="11" spans="3:9" x14ac:dyDescent="0.2">
      <c r="C11" s="15" t="s">
        <v>4</v>
      </c>
      <c r="D11" s="64">
        <f>+(($E$4*'Fórmula LA'!$D$8)/150)</f>
        <v>0</v>
      </c>
      <c r="E11" s="96" t="s">
        <v>22</v>
      </c>
      <c r="F11" s="107">
        <f>+H11+D11</f>
        <v>0</v>
      </c>
      <c r="G11" s="102" t="s">
        <v>4</v>
      </c>
      <c r="H11" s="66">
        <f>+($I$4*'Fórmula ARR'!D8/210)</f>
        <v>0</v>
      </c>
      <c r="I11" s="16" t="s">
        <v>22</v>
      </c>
    </row>
    <row r="12" spans="3:9" ht="17" thickBot="1" x14ac:dyDescent="0.25">
      <c r="C12" s="17" t="s">
        <v>5</v>
      </c>
      <c r="D12" s="65">
        <f>+(($E$4*'Fórmula LA'!$D$9)/150)</f>
        <v>0</v>
      </c>
      <c r="E12" s="97" t="s">
        <v>23</v>
      </c>
      <c r="F12" s="110"/>
      <c r="G12" s="103" t="s">
        <v>48</v>
      </c>
      <c r="H12" s="56">
        <f>+MROUND($I$4*'Fórmula ARR'!D9/210,0.5)</f>
        <v>0</v>
      </c>
      <c r="I12" s="57" t="s">
        <v>21</v>
      </c>
    </row>
    <row r="13" spans="3:9" ht="17" thickBot="1" x14ac:dyDescent="0.25">
      <c r="C13" s="19"/>
      <c r="D13" s="20" t="s">
        <v>40</v>
      </c>
      <c r="E13" s="86"/>
      <c r="F13" s="112"/>
      <c r="G13" s="77"/>
      <c r="H13" s="80" t="s">
        <v>40</v>
      </c>
      <c r="I13" s="78"/>
    </row>
    <row r="14" spans="3:9" x14ac:dyDescent="0.2">
      <c r="C14" s="13" t="s">
        <v>6</v>
      </c>
      <c r="D14" s="2">
        <f>+MROUND((($E$4*'Fórmula LA'!$D$10)/150),1)</f>
        <v>0</v>
      </c>
      <c r="E14" s="98" t="s">
        <v>21</v>
      </c>
      <c r="F14" s="111">
        <f>+H14+D14</f>
        <v>0</v>
      </c>
      <c r="G14" s="101" t="s">
        <v>6</v>
      </c>
      <c r="H14" s="59">
        <f>+MROUND((($I$4*'Fórmula ARR'!D10)/210),1)</f>
        <v>0</v>
      </c>
      <c r="I14" s="60" t="s">
        <v>21</v>
      </c>
    </row>
    <row r="15" spans="3:9" ht="17" thickBot="1" x14ac:dyDescent="0.25">
      <c r="C15" s="17" t="s">
        <v>7</v>
      </c>
      <c r="D15" s="3">
        <f>+MROUND((($E$4*'Fórmula LA'!$D$11)/150),1)</f>
        <v>0</v>
      </c>
      <c r="E15" s="99" t="s">
        <v>21</v>
      </c>
      <c r="F15" s="110">
        <f>+H15+D15</f>
        <v>0</v>
      </c>
      <c r="G15" s="103" t="s">
        <v>7</v>
      </c>
      <c r="H15" s="61">
        <f>+MROUND((($I$4*'Fórmula ARR'!D11)/210),1)</f>
        <v>0</v>
      </c>
      <c r="I15" s="62" t="s">
        <v>21</v>
      </c>
    </row>
    <row r="16" spans="3:9" ht="17" thickBot="1" x14ac:dyDescent="0.25">
      <c r="C16" s="19"/>
      <c r="D16" s="20" t="s">
        <v>41</v>
      </c>
      <c r="E16" s="86"/>
      <c r="F16" s="112"/>
      <c r="G16" s="77"/>
      <c r="H16" s="80" t="s">
        <v>41</v>
      </c>
      <c r="I16" s="78"/>
    </row>
    <row r="17" spans="3:9" x14ac:dyDescent="0.2">
      <c r="C17" s="13" t="s">
        <v>60</v>
      </c>
      <c r="D17" s="23">
        <f>+MROUND((($E$4*'Fórmula LA'!$D$12)/150),0.5)</f>
        <v>0</v>
      </c>
      <c r="E17" s="98" t="s">
        <v>24</v>
      </c>
      <c r="F17" s="111"/>
      <c r="G17" s="104" t="s">
        <v>49</v>
      </c>
      <c r="H17" s="94">
        <f>+MROUND((($I$4*'Fórmula ARR'!D12)/210),0.5)</f>
        <v>0</v>
      </c>
      <c r="I17" s="21" t="s">
        <v>24</v>
      </c>
    </row>
    <row r="18" spans="3:9" x14ac:dyDescent="0.2">
      <c r="C18" s="15" t="s">
        <v>9</v>
      </c>
      <c r="D18" s="24">
        <f>+MROUND((($E$4*'Fórmula LA'!$D$13)/150),0.5)</f>
        <v>0</v>
      </c>
      <c r="E18" s="100" t="s">
        <v>24</v>
      </c>
      <c r="F18" s="107"/>
      <c r="G18" s="102" t="s">
        <v>50</v>
      </c>
      <c r="H18" s="58">
        <f>+MROUND((($I$4*'Fórmula ARR'!D13)/210),0.5)</f>
        <v>0</v>
      </c>
      <c r="I18" s="25" t="s">
        <v>24</v>
      </c>
    </row>
    <row r="19" spans="3:9" x14ac:dyDescent="0.2">
      <c r="C19" s="15" t="s">
        <v>10</v>
      </c>
      <c r="D19" s="24">
        <f>+MROUND((($E$4*'Fórmula LA'!$D$14)/150),0.5)</f>
        <v>0</v>
      </c>
      <c r="E19" s="100" t="s">
        <v>24</v>
      </c>
      <c r="F19" s="107"/>
      <c r="G19" s="102" t="s">
        <v>11</v>
      </c>
      <c r="H19" s="58">
        <f>+MROUND((($I$4*'Fórmula ARR'!D14)/210),0.5)</f>
        <v>0</v>
      </c>
      <c r="I19" s="25" t="s">
        <v>24</v>
      </c>
    </row>
    <row r="20" spans="3:9" x14ac:dyDescent="0.2">
      <c r="C20" s="15" t="s">
        <v>11</v>
      </c>
      <c r="D20" s="24">
        <f>+MROUND((($E$4*'Fórmula LA'!$D$15)/150),0.5)</f>
        <v>0</v>
      </c>
      <c r="E20" s="100" t="s">
        <v>24</v>
      </c>
      <c r="F20" s="113"/>
      <c r="G20" s="114"/>
      <c r="H20" s="114"/>
      <c r="I20" s="115"/>
    </row>
    <row r="21" spans="3:9" ht="17" thickBot="1" x14ac:dyDescent="0.25">
      <c r="C21" s="17" t="s">
        <v>12</v>
      </c>
      <c r="D21" s="26">
        <f>(($E$4*'Fórmula LA'!$D$16)/150)</f>
        <v>0</v>
      </c>
      <c r="E21" s="99" t="s">
        <v>25</v>
      </c>
      <c r="F21" s="108">
        <f>+D21+H21</f>
        <v>0</v>
      </c>
      <c r="G21" s="105" t="s">
        <v>12</v>
      </c>
      <c r="H21" s="79">
        <f>+(($I$4*'Fórmula ARR'!D15)/210)</f>
        <v>0</v>
      </c>
      <c r="I21" s="22" t="s">
        <v>24</v>
      </c>
    </row>
  </sheetData>
  <mergeCells count="6">
    <mergeCell ref="C4:D4"/>
    <mergeCell ref="C3:D3"/>
    <mergeCell ref="C2:E2"/>
    <mergeCell ref="G2:I2"/>
    <mergeCell ref="G3:H3"/>
    <mergeCell ref="G4:H4"/>
  </mergeCells>
  <phoneticPr fontId="7" type="noConversion"/>
  <pageMargins left="0.7" right="0.7" top="0.75" bottom="0.75" header="0.3" footer="0.3"/>
  <pageSetup orientation="portrait" r:id="rId1"/>
  <ignoredErrors>
    <ignoredError sqref="E4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B28"/>
  <sheetViews>
    <sheetView workbookViewId="0">
      <selection activeCell="H17" sqref="H17"/>
    </sheetView>
  </sheetViews>
  <sheetFormatPr baseColWidth="10" defaultRowHeight="16" x14ac:dyDescent="0.2"/>
  <sheetData>
    <row r="1" spans="1:2" ht="17" thickBot="1" x14ac:dyDescent="0.25">
      <c r="A1" s="210"/>
      <c r="B1" s="210"/>
    </row>
    <row r="2" spans="1:2" ht="17" thickBot="1" x14ac:dyDescent="0.25">
      <c r="A2" s="8"/>
      <c r="B2" s="9"/>
    </row>
    <row r="3" spans="1:2" x14ac:dyDescent="0.2">
      <c r="A3" s="68"/>
      <c r="B3" s="14"/>
    </row>
    <row r="4" spans="1:2" x14ac:dyDescent="0.2">
      <c r="A4" s="71"/>
      <c r="B4" s="72"/>
    </row>
    <row r="5" spans="1:2" x14ac:dyDescent="0.2">
      <c r="A5" s="69"/>
      <c r="B5" s="16"/>
    </row>
    <row r="6" spans="1:2" x14ac:dyDescent="0.2">
      <c r="A6" s="71"/>
      <c r="B6" s="72"/>
    </row>
    <row r="7" spans="1:2" ht="17" thickBot="1" x14ac:dyDescent="0.25">
      <c r="A7" s="70"/>
      <c r="B7" s="18"/>
    </row>
    <row r="8" spans="1:2" x14ac:dyDescent="0.2">
      <c r="A8" s="2"/>
      <c r="B8" s="21"/>
    </row>
    <row r="9" spans="1:2" ht="17" thickBot="1" x14ac:dyDescent="0.25">
      <c r="A9" s="74"/>
      <c r="B9" s="75"/>
    </row>
    <row r="10" spans="1:2" x14ac:dyDescent="0.2">
      <c r="A10" s="23"/>
      <c r="B10" s="21"/>
    </row>
    <row r="11" spans="1:2" ht="17" thickBot="1" x14ac:dyDescent="0.25">
      <c r="A11" s="85"/>
      <c r="B11" s="75"/>
    </row>
    <row r="12" spans="1:2" x14ac:dyDescent="0.2">
      <c r="A12" s="84"/>
      <c r="B12" s="60"/>
    </row>
    <row r="13" spans="1:2" x14ac:dyDescent="0.2">
      <c r="A13" s="73"/>
      <c r="B13" s="72"/>
    </row>
    <row r="14" spans="1:2" ht="17" thickBot="1" x14ac:dyDescent="0.25">
      <c r="A14" s="26"/>
      <c r="B14" s="22"/>
    </row>
    <row r="15" spans="1:2" ht="17" thickBot="1" x14ac:dyDescent="0.25"/>
    <row r="16" spans="1:2" ht="17" thickBot="1" x14ac:dyDescent="0.25">
      <c r="A16" s="210"/>
      <c r="B16" s="210"/>
    </row>
    <row r="17" spans="1:2" ht="17" thickBot="1" x14ac:dyDescent="0.25">
      <c r="A17" s="8"/>
      <c r="B17" s="9"/>
    </row>
    <row r="18" spans="1:2" x14ac:dyDescent="0.2">
      <c r="A18" s="68"/>
      <c r="B18" s="14"/>
    </row>
    <row r="19" spans="1:2" x14ac:dyDescent="0.2">
      <c r="A19" s="71"/>
      <c r="B19" s="72"/>
    </row>
    <row r="20" spans="1:2" x14ac:dyDescent="0.2">
      <c r="A20" s="69"/>
      <c r="B20" s="16"/>
    </row>
    <row r="21" spans="1:2" x14ac:dyDescent="0.2">
      <c r="A21" s="71"/>
      <c r="B21" s="72"/>
    </row>
    <row r="22" spans="1:2" ht="17" thickBot="1" x14ac:dyDescent="0.25">
      <c r="A22" s="70"/>
      <c r="B22" s="18"/>
    </row>
    <row r="23" spans="1:2" x14ac:dyDescent="0.2">
      <c r="A23" s="2"/>
      <c r="B23" s="21"/>
    </row>
    <row r="24" spans="1:2" ht="17" thickBot="1" x14ac:dyDescent="0.25">
      <c r="A24" s="74"/>
      <c r="B24" s="75"/>
    </row>
    <row r="25" spans="1:2" x14ac:dyDescent="0.2">
      <c r="A25" s="23"/>
      <c r="B25" s="21"/>
    </row>
    <row r="26" spans="1:2" ht="17" thickBot="1" x14ac:dyDescent="0.25">
      <c r="A26" s="85"/>
      <c r="B26" s="75"/>
    </row>
    <row r="27" spans="1:2" x14ac:dyDescent="0.2">
      <c r="A27" s="84"/>
      <c r="B27" s="60"/>
    </row>
    <row r="28" spans="1:2" x14ac:dyDescent="0.2">
      <c r="A28" s="73"/>
      <c r="B28" s="72"/>
    </row>
  </sheetData>
  <mergeCells count="2">
    <mergeCell ref="A1:B1"/>
    <mergeCell ref="A16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C4:E24"/>
  <sheetViews>
    <sheetView showGridLines="0" zoomScale="130" zoomScaleNormal="130" workbookViewId="0">
      <selection activeCell="F18" sqref="F18"/>
    </sheetView>
  </sheetViews>
  <sheetFormatPr baseColWidth="10" defaultRowHeight="16" x14ac:dyDescent="0.2"/>
  <cols>
    <col min="3" max="3" width="16.33203125" bestFit="1" customWidth="1"/>
    <col min="4" max="4" width="12" style="37" customWidth="1"/>
  </cols>
  <sheetData>
    <row r="4" spans="3:5" ht="17" thickBot="1" x14ac:dyDescent="0.25"/>
    <row r="5" spans="3:5" ht="30.5" customHeight="1" x14ac:dyDescent="0.2">
      <c r="C5" s="118" t="s">
        <v>39</v>
      </c>
      <c r="D5" s="121" t="s">
        <v>37</v>
      </c>
      <c r="E5" s="118" t="s">
        <v>38</v>
      </c>
    </row>
    <row r="6" spans="3:5" x14ac:dyDescent="0.2">
      <c r="C6" s="119" t="s">
        <v>1</v>
      </c>
      <c r="D6" s="120"/>
      <c r="E6" s="87" t="s">
        <v>75</v>
      </c>
    </row>
    <row r="7" spans="3:5" x14ac:dyDescent="0.2">
      <c r="C7" s="119" t="s">
        <v>2</v>
      </c>
      <c r="D7" s="129"/>
      <c r="E7" s="130" t="s">
        <v>74</v>
      </c>
    </row>
    <row r="8" spans="3:5" x14ac:dyDescent="0.2">
      <c r="C8" s="119" t="s">
        <v>3</v>
      </c>
      <c r="D8" s="122"/>
      <c r="E8" s="87" t="s">
        <v>44</v>
      </c>
    </row>
    <row r="9" spans="3:5" x14ac:dyDescent="0.2">
      <c r="C9" s="119" t="s">
        <v>4</v>
      </c>
      <c r="D9" s="129"/>
      <c r="E9" s="130" t="s">
        <v>22</v>
      </c>
    </row>
    <row r="10" spans="3:5" x14ac:dyDescent="0.2">
      <c r="C10" s="119" t="s">
        <v>5</v>
      </c>
      <c r="D10" s="122"/>
      <c r="E10" s="87" t="s">
        <v>73</v>
      </c>
    </row>
    <row r="11" spans="3:5" x14ac:dyDescent="0.2">
      <c r="C11" s="119" t="s">
        <v>6</v>
      </c>
      <c r="D11" s="131"/>
      <c r="E11" s="130" t="s">
        <v>72</v>
      </c>
    </row>
    <row r="12" spans="3:5" x14ac:dyDescent="0.2">
      <c r="C12" s="119" t="s">
        <v>7</v>
      </c>
      <c r="D12" s="123"/>
      <c r="E12" s="87" t="s">
        <v>72</v>
      </c>
    </row>
    <row r="13" spans="3:5" x14ac:dyDescent="0.2">
      <c r="C13" s="119" t="s">
        <v>60</v>
      </c>
      <c r="D13" s="131"/>
      <c r="E13" s="130" t="s">
        <v>71</v>
      </c>
    </row>
    <row r="14" spans="3:5" x14ac:dyDescent="0.2">
      <c r="C14" s="119" t="s">
        <v>9</v>
      </c>
      <c r="D14" s="123"/>
      <c r="E14" s="87" t="s">
        <v>71</v>
      </c>
    </row>
    <row r="15" spans="3:5" x14ac:dyDescent="0.2">
      <c r="C15" s="119" t="s">
        <v>10</v>
      </c>
      <c r="D15" s="131"/>
      <c r="E15" s="130" t="s">
        <v>71</v>
      </c>
    </row>
    <row r="16" spans="3:5" x14ac:dyDescent="0.2">
      <c r="C16" s="119" t="s">
        <v>80</v>
      </c>
      <c r="D16" s="122"/>
      <c r="E16" s="87" t="s">
        <v>71</v>
      </c>
    </row>
    <row r="17" spans="3:5" x14ac:dyDescent="0.2">
      <c r="C17" s="119" t="s">
        <v>12</v>
      </c>
      <c r="D17" s="129"/>
      <c r="E17" s="130" t="s">
        <v>25</v>
      </c>
    </row>
    <row r="18" spans="3:5" ht="17" thickBot="1" x14ac:dyDescent="0.25"/>
    <row r="19" spans="3:5" ht="31" customHeight="1" x14ac:dyDescent="0.2">
      <c r="C19" s="118" t="s">
        <v>39</v>
      </c>
      <c r="D19" s="121" t="s">
        <v>37</v>
      </c>
      <c r="E19" s="118" t="s">
        <v>38</v>
      </c>
    </row>
    <row r="20" spans="3:5" x14ac:dyDescent="0.2">
      <c r="C20" s="119" t="s">
        <v>47</v>
      </c>
      <c r="D20" s="123"/>
      <c r="E20" s="87" t="s">
        <v>22</v>
      </c>
    </row>
    <row r="21" spans="3:5" x14ac:dyDescent="0.2">
      <c r="C21" s="119" t="s">
        <v>48</v>
      </c>
      <c r="D21" s="131"/>
      <c r="E21" s="130" t="s">
        <v>21</v>
      </c>
    </row>
    <row r="22" spans="3:5" x14ac:dyDescent="0.2">
      <c r="C22" s="119" t="s">
        <v>49</v>
      </c>
      <c r="D22" s="123"/>
      <c r="E22" s="87" t="s">
        <v>24</v>
      </c>
    </row>
    <row r="23" spans="3:5" x14ac:dyDescent="0.2">
      <c r="C23" s="119" t="s">
        <v>50</v>
      </c>
      <c r="D23" s="130"/>
      <c r="E23" s="130" t="s">
        <v>24</v>
      </c>
    </row>
    <row r="24" spans="3:5" x14ac:dyDescent="0.2">
      <c r="C24" s="119" t="s">
        <v>81</v>
      </c>
      <c r="D24" s="123"/>
      <c r="E24" s="87" t="s">
        <v>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/>
  <dimension ref="A1:P41"/>
  <sheetViews>
    <sheetView showGridLines="0" zoomScale="110" zoomScaleNormal="110" workbookViewId="0">
      <selection activeCell="B24" sqref="B24:I24"/>
    </sheetView>
  </sheetViews>
  <sheetFormatPr baseColWidth="10" defaultColWidth="0" defaultRowHeight="16" zeroHeight="1" x14ac:dyDescent="0.2"/>
  <cols>
    <col min="1" max="1" width="10.6640625" customWidth="1"/>
    <col min="2" max="2" width="19.5" bestFit="1" customWidth="1"/>
    <col min="3" max="3" width="13.1640625" style="27" customWidth="1"/>
    <col min="4" max="4" width="8.33203125" style="27" customWidth="1"/>
    <col min="5" max="5" width="13.1640625" style="27" customWidth="1"/>
    <col min="6" max="7" width="13.1640625" customWidth="1"/>
    <col min="8" max="8" width="14.6640625" customWidth="1"/>
    <col min="9" max="9" width="13.1640625" customWidth="1"/>
    <col min="10" max="10" width="6.33203125" customWidth="1"/>
    <col min="11" max="11" width="16.33203125" hidden="1" customWidth="1"/>
    <col min="12" max="13" width="10.6640625" hidden="1" customWidth="1"/>
    <col min="14" max="14" width="7.1640625" hidden="1" customWidth="1"/>
    <col min="15" max="15" width="15.5" hidden="1" customWidth="1"/>
    <col min="16" max="16384" width="10.6640625" hidden="1"/>
  </cols>
  <sheetData>
    <row r="1" spans="1:16" ht="20.5" customHeight="1" x14ac:dyDescent="0.2">
      <c r="B1" s="243"/>
      <c r="C1" s="226" t="s">
        <v>121</v>
      </c>
      <c r="D1" s="248"/>
      <c r="E1" s="248"/>
      <c r="F1" s="248"/>
      <c r="G1" s="248"/>
      <c r="H1" s="246" t="s">
        <v>120</v>
      </c>
      <c r="I1" s="247"/>
    </row>
    <row r="2" spans="1:16" ht="20.5" customHeight="1" x14ac:dyDescent="0.2">
      <c r="B2" s="244"/>
      <c r="C2" s="226"/>
      <c r="D2" s="248"/>
      <c r="E2" s="248"/>
      <c r="F2" s="248"/>
      <c r="G2" s="248"/>
      <c r="H2" s="198" t="s">
        <v>118</v>
      </c>
      <c r="I2" s="199">
        <v>43699</v>
      </c>
    </row>
    <row r="3" spans="1:16" ht="20.5" customHeight="1" x14ac:dyDescent="0.2">
      <c r="B3" s="245"/>
      <c r="C3" s="226"/>
      <c r="D3" s="248"/>
      <c r="E3" s="248"/>
      <c r="F3" s="248"/>
      <c r="G3" s="248"/>
      <c r="H3" s="198" t="s">
        <v>117</v>
      </c>
      <c r="I3" s="198">
        <v>1</v>
      </c>
    </row>
    <row r="4" spans="1:16" ht="11" customHeight="1" x14ac:dyDescent="0.2"/>
    <row r="5" spans="1:16" s="27" customFormat="1" ht="32" customHeight="1" thickBot="1" x14ac:dyDescent="0.25">
      <c r="B5" s="191" t="s">
        <v>39</v>
      </c>
      <c r="C5" s="185" t="s">
        <v>42</v>
      </c>
      <c r="D5" s="185" t="s">
        <v>104</v>
      </c>
      <c r="E5" s="185" t="s">
        <v>37</v>
      </c>
      <c r="F5" s="186" t="s">
        <v>43</v>
      </c>
      <c r="G5" s="187" t="s">
        <v>87</v>
      </c>
      <c r="H5" s="187" t="s">
        <v>111</v>
      </c>
      <c r="I5" s="188" t="s">
        <v>88</v>
      </c>
      <c r="J5"/>
      <c r="K5"/>
      <c r="L5"/>
      <c r="M5"/>
      <c r="N5"/>
      <c r="O5"/>
      <c r="P5"/>
    </row>
    <row r="6" spans="1:16" ht="16.5" customHeight="1" x14ac:dyDescent="0.2">
      <c r="B6" s="196" t="s">
        <v>93</v>
      </c>
      <c r="C6" s="171">
        <f>2*50+25</f>
        <v>125</v>
      </c>
      <c r="D6" s="171" t="s">
        <v>107</v>
      </c>
      <c r="E6" s="175">
        <f>'Requisitos Pedido'!H10</f>
        <v>0</v>
      </c>
      <c r="F6" s="29">
        <f>+Tabla1[[#This Row],[Inventario Inicial]]-Tabla1[[#This Row],[Cantidad Requerida]]</f>
        <v>125</v>
      </c>
      <c r="G6" s="169">
        <v>500</v>
      </c>
      <c r="H6" s="195">
        <v>4</v>
      </c>
      <c r="I6" s="195">
        <v>200</v>
      </c>
    </row>
    <row r="7" spans="1:16" ht="16.5" customHeight="1" x14ac:dyDescent="0.2">
      <c r="B7" s="196" t="s">
        <v>4</v>
      </c>
      <c r="C7" s="28">
        <f>1*50+25</f>
        <v>75</v>
      </c>
      <c r="D7" s="28" t="s">
        <v>107</v>
      </c>
      <c r="E7" s="159">
        <f>'Requisitos Pedido'!F11</f>
        <v>0</v>
      </c>
      <c r="F7" s="29">
        <f>+Tabla1[[#This Row],[Inventario Inicial]]-Tabla1[[#This Row],[Cantidad Requerida]]</f>
        <v>75</v>
      </c>
      <c r="G7" s="143">
        <v>500</v>
      </c>
      <c r="H7" s="143">
        <v>4</v>
      </c>
      <c r="I7" s="143">
        <v>200</v>
      </c>
    </row>
    <row r="8" spans="1:16" ht="16.5" customHeight="1" x14ac:dyDescent="0.2">
      <c r="B8" s="196" t="s">
        <v>6</v>
      </c>
      <c r="C8" s="145">
        <f>4*1000</f>
        <v>4000</v>
      </c>
      <c r="D8" s="145" t="s">
        <v>21</v>
      </c>
      <c r="E8" s="161">
        <f>'Requisitos Pedido'!F14</f>
        <v>0</v>
      </c>
      <c r="F8" s="29">
        <f>+Tabla1[[#This Row],[Inventario Inicial]]-Tabla1[[#This Row],[Cantidad Requerida]]</f>
        <v>4000</v>
      </c>
      <c r="G8" s="29">
        <v>8</v>
      </c>
      <c r="H8" s="29">
        <v>30</v>
      </c>
      <c r="I8" s="29">
        <v>8000</v>
      </c>
    </row>
    <row r="9" spans="1:16" ht="16.5" customHeight="1" x14ac:dyDescent="0.2">
      <c r="B9" s="196" t="s">
        <v>90</v>
      </c>
      <c r="C9" s="145">
        <f>3000-50</f>
        <v>2950</v>
      </c>
      <c r="D9" s="145" t="s">
        <v>24</v>
      </c>
      <c r="E9" s="161">
        <f>'Requisitos Pedido'!D20</f>
        <v>0</v>
      </c>
      <c r="F9" s="29">
        <f>+Tabla1[[#This Row],[Inventario Inicial]]-Tabla1[[#This Row],[Cantidad Requerida]]</f>
        <v>2950</v>
      </c>
      <c r="G9" s="169">
        <v>3000</v>
      </c>
      <c r="H9" s="195">
        <v>15</v>
      </c>
      <c r="I9" s="195">
        <v>3000</v>
      </c>
    </row>
    <row r="10" spans="1:16" ht="16.5" customHeight="1" x14ac:dyDescent="0.2">
      <c r="B10" s="196" t="s">
        <v>96</v>
      </c>
      <c r="C10" s="148">
        <f>19*20+9</f>
        <v>389</v>
      </c>
      <c r="D10" s="148" t="s">
        <v>24</v>
      </c>
      <c r="E10" s="164">
        <f>'Requisitos Pedido'!H19</f>
        <v>0</v>
      </c>
      <c r="F10" s="29">
        <f>+Tabla1[[#This Row],[Inventario Inicial]]-Tabla1[[#This Row],[Cantidad Requerida]]</f>
        <v>389</v>
      </c>
      <c r="G10" s="149">
        <f>3000</f>
        <v>3000</v>
      </c>
      <c r="H10" s="149">
        <v>15</v>
      </c>
      <c r="I10" s="149">
        <v>2500</v>
      </c>
    </row>
    <row r="11" spans="1:16" ht="16.5" customHeight="1" x14ac:dyDescent="0.2">
      <c r="B11" s="196" t="s">
        <v>89</v>
      </c>
      <c r="C11" s="145">
        <f>12000+147*50</f>
        <v>19350</v>
      </c>
      <c r="D11" s="145" t="s">
        <v>24</v>
      </c>
      <c r="E11" s="161">
        <f>'Requisitos Pedido'!D19</f>
        <v>0</v>
      </c>
      <c r="F11" s="29">
        <f>+Tabla1[[#This Row],[Inventario Inicial]]-Tabla1[[#This Row],[Cantidad Requerida]]</f>
        <v>19350</v>
      </c>
      <c r="G11" s="29">
        <f>60000</f>
        <v>60000</v>
      </c>
      <c r="H11" s="29">
        <v>17</v>
      </c>
      <c r="I11" s="29">
        <v>35000</v>
      </c>
    </row>
    <row r="12" spans="1:16" ht="16.5" customHeight="1" x14ac:dyDescent="0.2">
      <c r="B12" s="93" t="s">
        <v>45</v>
      </c>
      <c r="C12" s="150">
        <f>24+11</f>
        <v>35</v>
      </c>
      <c r="D12" s="150" t="s">
        <v>24</v>
      </c>
      <c r="E12" s="153">
        <f>'Requisitos Pedido'!F21</f>
        <v>0</v>
      </c>
      <c r="F12" s="29">
        <f>+Tabla1[[#This Row],[Inventario Inicial]]-Tabla1[[#This Row],[Cantidad Requerida]]</f>
        <v>35</v>
      </c>
      <c r="G12" s="150">
        <v>48</v>
      </c>
      <c r="H12" s="30">
        <v>5</v>
      </c>
      <c r="I12" s="30">
        <v>15</v>
      </c>
    </row>
    <row r="13" spans="1:16" ht="16.5" customHeight="1" x14ac:dyDescent="0.2">
      <c r="A13" s="117"/>
      <c r="B13" s="93" t="s">
        <v>14</v>
      </c>
      <c r="C13" s="153">
        <v>4.5</v>
      </c>
      <c r="D13" s="165" t="s">
        <v>107</v>
      </c>
      <c r="E13" s="166"/>
      <c r="F13" s="29">
        <f>+Tabla1[[#This Row],[Inventario Inicial]]-Tabla1[[#This Row],[Cantidad Requerida]]</f>
        <v>4.5</v>
      </c>
      <c r="G13" s="152">
        <v>8</v>
      </c>
      <c r="H13" s="30">
        <v>4</v>
      </c>
      <c r="I13" s="30"/>
    </row>
    <row r="14" spans="1:16" ht="16.5" customHeight="1" x14ac:dyDescent="0.2">
      <c r="B14" s="93" t="s">
        <v>100</v>
      </c>
      <c r="C14" s="150">
        <v>20</v>
      </c>
      <c r="D14" s="30" t="s">
        <v>107</v>
      </c>
      <c r="E14" s="165"/>
      <c r="F14" s="29">
        <f>+Tabla1[[#This Row],[Inventario Inicial]]-Tabla1[[#This Row],[Cantidad Requerida]]</f>
        <v>20</v>
      </c>
      <c r="G14" s="151">
        <v>20</v>
      </c>
      <c r="H14" s="30">
        <v>4</v>
      </c>
      <c r="I14" s="30"/>
    </row>
    <row r="15" spans="1:16" ht="16.5" customHeight="1" x14ac:dyDescent="0.2">
      <c r="B15" s="196" t="s">
        <v>91</v>
      </c>
      <c r="C15" s="144">
        <f>33</f>
        <v>33</v>
      </c>
      <c r="D15" s="143" t="s">
        <v>44</v>
      </c>
      <c r="E15" s="160">
        <f>'Requisitos Pedido'!D10</f>
        <v>0</v>
      </c>
      <c r="F15" s="29">
        <f>+Tabla1[[#This Row],[Inventario Inicial]]-Tabla1[[#This Row],[Cantidad Requerida]]</f>
        <v>33</v>
      </c>
      <c r="G15" s="182">
        <v>40</v>
      </c>
      <c r="H15" s="143">
        <v>4</v>
      </c>
      <c r="I15" s="143">
        <v>35</v>
      </c>
    </row>
    <row r="16" spans="1:16" ht="16.5" customHeight="1" x14ac:dyDescent="0.2">
      <c r="B16" s="196" t="s">
        <v>9</v>
      </c>
      <c r="C16" s="146">
        <f>2*12500</f>
        <v>25000</v>
      </c>
      <c r="D16" s="29" t="s">
        <v>24</v>
      </c>
      <c r="E16" s="162">
        <f>'Requisitos Pedido'!D18</f>
        <v>0</v>
      </c>
      <c r="F16" s="29">
        <f>+Tabla1[[#This Row],[Inventario Inicial]]-Tabla1[[#This Row],[Cantidad Requerida]]</f>
        <v>25000</v>
      </c>
      <c r="G16" s="29">
        <v>72000</v>
      </c>
      <c r="H16" s="29">
        <v>10</v>
      </c>
      <c r="I16" s="29">
        <v>30000</v>
      </c>
    </row>
    <row r="17" spans="2:9" ht="16.5" customHeight="1" x14ac:dyDescent="0.2">
      <c r="B17" s="93" t="s">
        <v>15</v>
      </c>
      <c r="C17" s="154">
        <f>20</f>
        <v>20</v>
      </c>
      <c r="D17" s="31" t="s">
        <v>107</v>
      </c>
      <c r="E17" s="176"/>
      <c r="F17" s="29">
        <f>+Tabla1[[#This Row],[Inventario Inicial]]-Tabla1[[#This Row],[Cantidad Requerida]]</f>
        <v>20</v>
      </c>
      <c r="G17" s="31">
        <v>20</v>
      </c>
      <c r="H17" s="31">
        <v>4</v>
      </c>
      <c r="I17" s="31"/>
    </row>
    <row r="18" spans="2:9" ht="16.5" customHeight="1" x14ac:dyDescent="0.2">
      <c r="B18" s="93" t="s">
        <v>103</v>
      </c>
      <c r="C18" s="154">
        <f>200</f>
        <v>200</v>
      </c>
      <c r="D18" s="31" t="s">
        <v>24</v>
      </c>
      <c r="E18" s="176"/>
      <c r="F18" s="29">
        <f>+Tabla1[[#This Row],[Inventario Inicial]]-Tabla1[[#This Row],[Cantidad Requerida]]</f>
        <v>200</v>
      </c>
      <c r="G18" s="169">
        <v>200</v>
      </c>
      <c r="H18" s="195">
        <v>4</v>
      </c>
      <c r="I18" s="195">
        <v>100</v>
      </c>
    </row>
    <row r="19" spans="2:9" ht="16.5" customHeight="1" x14ac:dyDescent="0.2">
      <c r="B19" s="93" t="s">
        <v>102</v>
      </c>
      <c r="C19" s="154">
        <v>8</v>
      </c>
      <c r="D19" s="31" t="s">
        <v>24</v>
      </c>
      <c r="E19" s="167"/>
      <c r="F19" s="29">
        <f>+Tabla1[[#This Row],[Inventario Inicial]]-Tabla1[[#This Row],[Cantidad Requerida]]</f>
        <v>8</v>
      </c>
      <c r="G19" s="169">
        <v>30</v>
      </c>
      <c r="H19" s="195">
        <v>1</v>
      </c>
      <c r="I19" s="195">
        <v>10</v>
      </c>
    </row>
    <row r="20" spans="2:9" ht="16.5" customHeight="1" x14ac:dyDescent="0.2">
      <c r="B20" s="196" t="s">
        <v>50</v>
      </c>
      <c r="C20" s="146">
        <f>12000+2500</f>
        <v>14500</v>
      </c>
      <c r="D20" s="29" t="s">
        <v>24</v>
      </c>
      <c r="E20" s="163">
        <f>'Requisitos Pedido'!H18</f>
        <v>0</v>
      </c>
      <c r="F20" s="29">
        <f>+Tabla1[[#This Row],[Inventario Inicial]]-Tabla1[[#This Row],[Cantidad Requerida]]</f>
        <v>14500</v>
      </c>
      <c r="G20" s="32">
        <v>30800</v>
      </c>
      <c r="H20" s="195">
        <v>20</v>
      </c>
      <c r="I20" s="195">
        <v>40000</v>
      </c>
    </row>
    <row r="21" spans="2:9" ht="16.5" customHeight="1" x14ac:dyDescent="0.2">
      <c r="B21" s="93" t="s">
        <v>16</v>
      </c>
      <c r="C21" s="154"/>
      <c r="D21" s="154"/>
      <c r="E21" s="167"/>
      <c r="F21" s="29">
        <f>+Tabla1[[#This Row],[Inventario Inicial]]-Tabla1[[#This Row],[Cantidad Requerida]]</f>
        <v>0</v>
      </c>
      <c r="G21" s="155"/>
      <c r="H21" s="31"/>
      <c r="I21" s="31"/>
    </row>
    <row r="22" spans="2:9" ht="16.5" customHeight="1" x14ac:dyDescent="0.2">
      <c r="B22" s="93" t="s">
        <v>98</v>
      </c>
      <c r="C22" s="150">
        <f>200</f>
        <v>200</v>
      </c>
      <c r="D22" s="150" t="s">
        <v>24</v>
      </c>
      <c r="E22" s="165"/>
      <c r="F22" s="29">
        <f>+Tabla1[[#This Row],[Inventario Inicial]]-Tabla1[[#This Row],[Cantidad Requerida]]</f>
        <v>200</v>
      </c>
      <c r="G22" s="151">
        <v>200</v>
      </c>
      <c r="H22" s="30">
        <v>4</v>
      </c>
      <c r="I22" s="30">
        <v>100</v>
      </c>
    </row>
    <row r="23" spans="2:9" ht="16.5" customHeight="1" x14ac:dyDescent="0.2">
      <c r="B23" s="196" t="s">
        <v>5</v>
      </c>
      <c r="C23" s="144">
        <f>(50+40+36)*30+25</f>
        <v>3805</v>
      </c>
      <c r="D23" s="144" t="s">
        <v>108</v>
      </c>
      <c r="E23" s="160">
        <f>'Requisitos Pedido'!D12</f>
        <v>0</v>
      </c>
      <c r="F23" s="29">
        <f>+Tabla1[[#This Row],[Inventario Inicial]]-Tabla1[[#This Row],[Cantidad Requerida]]</f>
        <v>3805</v>
      </c>
      <c r="G23" s="182">
        <f>170*30</f>
        <v>5100</v>
      </c>
      <c r="H23" s="143">
        <v>8</v>
      </c>
      <c r="I23" s="143">
        <v>220</v>
      </c>
    </row>
    <row r="24" spans="2:9" ht="16.5" customHeight="1" x14ac:dyDescent="0.2">
      <c r="B24" s="196" t="s">
        <v>1</v>
      </c>
      <c r="C24" s="144"/>
      <c r="D24" s="144" t="s">
        <v>105</v>
      </c>
      <c r="E24" s="160">
        <f>'Requisitos Pedido'!F8</f>
        <v>0</v>
      </c>
      <c r="F24" s="29">
        <f>+Tabla1[[#This Row],[Inventario Inicial]]-Tabla1[[#This Row],[Cantidad Requerida]]</f>
        <v>0</v>
      </c>
      <c r="G24" s="182"/>
      <c r="H24" s="143">
        <v>1</v>
      </c>
      <c r="I24" s="143"/>
    </row>
    <row r="25" spans="2:9" ht="16.5" customHeight="1" x14ac:dyDescent="0.2">
      <c r="B25" s="196" t="s">
        <v>2</v>
      </c>
      <c r="C25" s="28">
        <f>48*2</f>
        <v>96</v>
      </c>
      <c r="D25" s="28" t="s">
        <v>106</v>
      </c>
      <c r="E25" s="177">
        <f>'Requisitos Pedido'!F9</f>
        <v>0</v>
      </c>
      <c r="F25" s="29">
        <f>+Tabla1[[#This Row],[Inventario Inicial]]-Tabla1[[#This Row],[Cantidad Requerida]]</f>
        <v>96</v>
      </c>
      <c r="G25" s="181">
        <v>150</v>
      </c>
      <c r="H25" s="143">
        <v>15</v>
      </c>
      <c r="I25" s="143">
        <v>180</v>
      </c>
    </row>
    <row r="26" spans="2:9" ht="16.5" customHeight="1" x14ac:dyDescent="0.2">
      <c r="B26" s="196" t="s">
        <v>95</v>
      </c>
      <c r="C26" s="173">
        <f>15</f>
        <v>15</v>
      </c>
      <c r="D26" s="173" t="s">
        <v>107</v>
      </c>
      <c r="E26" s="178"/>
      <c r="F26" s="29">
        <f>+Tabla1[[#This Row],[Inventario Inicial]]-Tabla1[[#This Row],[Cantidad Requerida]]</f>
        <v>15</v>
      </c>
      <c r="G26" s="183">
        <f>20</f>
        <v>20</v>
      </c>
      <c r="H26" s="149">
        <v>15</v>
      </c>
      <c r="I26" s="149"/>
    </row>
    <row r="27" spans="2:9" ht="16.5" customHeight="1" x14ac:dyDescent="0.2">
      <c r="B27" s="196" t="s">
        <v>8</v>
      </c>
      <c r="C27" s="146">
        <f>2*1200+48+10.5*100-200-90+1200*3+1200*2</f>
        <v>9208</v>
      </c>
      <c r="D27" s="146" t="s">
        <v>24</v>
      </c>
      <c r="E27" s="162">
        <f>'Requisitos Pedido'!D17</f>
        <v>0</v>
      </c>
      <c r="F27" s="29">
        <f>+Tabla1[[#This Row],[Inventario Inicial]]-Tabla1[[#This Row],[Cantidad Requerida]]</f>
        <v>9208</v>
      </c>
      <c r="G27" s="147"/>
      <c r="H27" s="29">
        <v>10</v>
      </c>
      <c r="I27" s="29">
        <v>30000</v>
      </c>
    </row>
    <row r="28" spans="2:9" ht="16.5" customHeight="1" x14ac:dyDescent="0.2">
      <c r="B28" s="93" t="s">
        <v>99</v>
      </c>
      <c r="C28" s="150">
        <f>3</f>
        <v>3</v>
      </c>
      <c r="D28" s="150" t="s">
        <v>107</v>
      </c>
      <c r="E28" s="165"/>
      <c r="F28" s="29">
        <f>+Tabla1[[#This Row],[Inventario Inicial]]-Tabla1[[#This Row],[Cantidad Requerida]]</f>
        <v>3</v>
      </c>
      <c r="G28" s="151"/>
      <c r="H28" s="30">
        <v>4</v>
      </c>
      <c r="I28" s="30"/>
    </row>
    <row r="29" spans="2:9" ht="16.5" customHeight="1" x14ac:dyDescent="0.2">
      <c r="B29" s="93" t="s">
        <v>13</v>
      </c>
      <c r="C29" s="150">
        <f>6</f>
        <v>6</v>
      </c>
      <c r="D29" s="150" t="s">
        <v>24</v>
      </c>
      <c r="E29" s="165"/>
      <c r="F29" s="29">
        <f>+Tabla1[[#This Row],[Inventario Inicial]]-Tabla1[[#This Row],[Cantidad Requerida]]</f>
        <v>6</v>
      </c>
      <c r="G29" s="151">
        <v>30</v>
      </c>
      <c r="H29" s="30">
        <v>5</v>
      </c>
      <c r="I29" s="30"/>
    </row>
    <row r="30" spans="2:9" ht="16.5" customHeight="1" x14ac:dyDescent="0.2">
      <c r="B30" s="196" t="s">
        <v>7</v>
      </c>
      <c r="C30" s="146">
        <f>4*1000</f>
        <v>4000</v>
      </c>
      <c r="D30" s="146" t="s">
        <v>21</v>
      </c>
      <c r="E30" s="162">
        <f>'Requisitos Pedido'!F15</f>
        <v>0</v>
      </c>
      <c r="F30" s="29">
        <f>+Tabla1[[#This Row],[Inventario Inicial]]-Tabla1[[#This Row],[Cantidad Requerida]]</f>
        <v>4000</v>
      </c>
      <c r="G30" s="147">
        <v>8</v>
      </c>
      <c r="H30" s="29">
        <v>30</v>
      </c>
      <c r="I30" s="29">
        <v>8000</v>
      </c>
    </row>
    <row r="31" spans="2:9" ht="16.5" customHeight="1" x14ac:dyDescent="0.2">
      <c r="B31" s="93" t="s">
        <v>101</v>
      </c>
      <c r="C31" s="156">
        <f>50</f>
        <v>50</v>
      </c>
      <c r="D31" s="156" t="s">
        <v>24</v>
      </c>
      <c r="E31" s="167"/>
      <c r="F31" s="29">
        <f>+Tabla1[[#This Row],[Inventario Inicial]]-Tabla1[[#This Row],[Cantidad Requerida]]</f>
        <v>50</v>
      </c>
      <c r="G31" s="155">
        <v>300</v>
      </c>
      <c r="H31" s="31">
        <v>4</v>
      </c>
      <c r="I31" s="31">
        <v>100</v>
      </c>
    </row>
    <row r="32" spans="2:9" ht="16.5" customHeight="1" x14ac:dyDescent="0.2">
      <c r="B32" s="196" t="s">
        <v>94</v>
      </c>
      <c r="C32" s="172">
        <v>10000</v>
      </c>
      <c r="D32" s="172" t="s">
        <v>24</v>
      </c>
      <c r="E32" s="163">
        <v>0</v>
      </c>
      <c r="F32" s="29">
        <f>+Tabla1[[#This Row],[Inventario Inicial]]-Tabla1[[#This Row],[Cantidad Requerida]]</f>
        <v>10000</v>
      </c>
      <c r="G32" s="180">
        <v>10000</v>
      </c>
      <c r="H32" s="195">
        <v>25</v>
      </c>
      <c r="I32" s="195">
        <v>15000</v>
      </c>
    </row>
    <row r="33" spans="2:9" ht="16.5" customHeight="1" x14ac:dyDescent="0.2">
      <c r="B33" s="196" t="s">
        <v>97</v>
      </c>
      <c r="C33" s="190">
        <f>(2+3/4)*10*1000</f>
        <v>27500</v>
      </c>
      <c r="D33" s="174" t="s">
        <v>21</v>
      </c>
      <c r="E33" s="179">
        <f>'Requisitos Pedido'!H12</f>
        <v>0</v>
      </c>
      <c r="F33" s="29">
        <f>+Tabla1[[#This Row],[Inventario Inicial]]-Tabla1[[#This Row],[Cantidad Requerida]]</f>
        <v>27500</v>
      </c>
      <c r="G33" s="184">
        <v>3</v>
      </c>
      <c r="H33" s="149">
        <v>8</v>
      </c>
      <c r="I33" s="149">
        <v>1</v>
      </c>
    </row>
    <row r="34" spans="2:9" ht="16.5" customHeight="1" x14ac:dyDescent="0.2">
      <c r="B34" s="196" t="s">
        <v>92</v>
      </c>
      <c r="C34" s="172">
        <f>6*1400+835</f>
        <v>9235</v>
      </c>
      <c r="D34" s="172" t="s">
        <v>24</v>
      </c>
      <c r="E34" s="163">
        <f>'Requisitos Pedido'!H17</f>
        <v>0</v>
      </c>
      <c r="F34" s="29">
        <f>+Tabla1[[#This Row],[Inventario Inicial]]-Tabla1[[#This Row],[Cantidad Requerida]]</f>
        <v>9235</v>
      </c>
      <c r="G34" s="180">
        <v>30800</v>
      </c>
      <c r="H34" s="195">
        <v>20</v>
      </c>
      <c r="I34" s="195">
        <v>30000</v>
      </c>
    </row>
    <row r="35" spans="2:9" ht="16.5" customHeight="1" x14ac:dyDescent="0.2">
      <c r="B35" s="197" t="s">
        <v>26</v>
      </c>
      <c r="C35" s="157">
        <v>1</v>
      </c>
      <c r="D35" s="157" t="s">
        <v>109</v>
      </c>
      <c r="E35" s="168"/>
      <c r="F35" s="29">
        <f>+Tabla1[[#This Row],[Inventario Inicial]]-Tabla1[[#This Row],[Cantidad Requerida]]</f>
        <v>1</v>
      </c>
      <c r="G35" s="158">
        <v>3</v>
      </c>
      <c r="H35" s="189">
        <v>4</v>
      </c>
      <c r="I35" s="189">
        <v>3</v>
      </c>
    </row>
    <row r="36" spans="2:9" x14ac:dyDescent="0.2"/>
    <row r="37" spans="2:9" x14ac:dyDescent="0.2"/>
    <row r="38" spans="2:9" x14ac:dyDescent="0.2"/>
    <row r="39" spans="2:9" x14ac:dyDescent="0.2"/>
    <row r="40" spans="2:9" x14ac:dyDescent="0.2"/>
    <row r="41" spans="2:9" x14ac:dyDescent="0.2"/>
  </sheetData>
  <sortState xmlns:xlrd2="http://schemas.microsoft.com/office/spreadsheetml/2017/richdata2" ref="B6:I35">
    <sortCondition ref="B6"/>
  </sortState>
  <mergeCells count="3">
    <mergeCell ref="B1:B3"/>
    <mergeCell ref="H1:I1"/>
    <mergeCell ref="C1:G3"/>
  </mergeCells>
  <conditionalFormatting sqref="F6:F35">
    <cfRule type="cellIs" dxfId="20" priority="13" operator="lessThan">
      <formula>5</formula>
    </cfRule>
  </conditionalFormatting>
  <conditionalFormatting sqref="F6">
    <cfRule type="cellIs" dxfId="19" priority="12" operator="lessThan">
      <formula>I6</formula>
    </cfRule>
    <cfRule type="cellIs" dxfId="18" priority="9" operator="between">
      <formula>201</formula>
      <formula>250</formula>
    </cfRule>
  </conditionalFormatting>
  <conditionalFormatting sqref="F7">
    <cfRule type="cellIs" dxfId="17" priority="11" operator="lessThan">
      <formula>I7</formula>
    </cfRule>
  </conditionalFormatting>
  <conditionalFormatting sqref="F8:F35">
    <cfRule type="cellIs" dxfId="16" priority="10" operator="lessThan">
      <formula>I8</formula>
    </cfRule>
  </conditionalFormatting>
  <conditionalFormatting sqref="F7">
    <cfRule type="cellIs" dxfId="15" priority="7" operator="between">
      <formula>201</formula>
      <formula>250</formula>
    </cfRule>
    <cfRule type="cellIs" dxfId="14" priority="8" operator="lessThan">
      <formula>I7</formula>
    </cfRule>
  </conditionalFormatting>
  <conditionalFormatting sqref="F8">
    <cfRule type="cellIs" dxfId="13" priority="6" operator="between">
      <formula>I8</formula>
      <formula>I8+I8*20%</formula>
    </cfRule>
    <cfRule type="cellIs" dxfId="12" priority="5" operator="between">
      <formula>$I8</formula>
      <formula>8600</formula>
    </cfRule>
    <cfRule type="cellIs" dxfId="11" priority="4" operator="between">
      <formula>I8</formula>
      <formula>I8*1.2</formula>
    </cfRule>
  </conditionalFormatting>
  <conditionalFormatting sqref="F9:F35">
    <cfRule type="cellIs" dxfId="10" priority="1" operator="between">
      <formula>I9</formula>
      <formula>I9*1.2</formula>
    </cfRule>
    <cfRule type="cellIs" dxfId="9" priority="2" operator="between">
      <formula>$I9</formula>
      <formula>8600</formula>
    </cfRule>
    <cfRule type="cellIs" dxfId="8" priority="3" operator="between">
      <formula>I9</formula>
      <formula>I9+I9*20%</formula>
    </cfRule>
  </conditionalFormatting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/>
  <dimension ref="B5:C9"/>
  <sheetViews>
    <sheetView showGridLines="0" workbookViewId="0">
      <selection activeCell="B9" sqref="B9"/>
    </sheetView>
  </sheetViews>
  <sheetFormatPr baseColWidth="10" defaultRowHeight="16" x14ac:dyDescent="0.2"/>
  <cols>
    <col min="2" max="2" width="16.33203125" bestFit="1" customWidth="1"/>
    <col min="3" max="3" width="10.83203125" style="1"/>
  </cols>
  <sheetData>
    <row r="5" spans="2:3" x14ac:dyDescent="0.2">
      <c r="B5" t="s">
        <v>32</v>
      </c>
    </row>
    <row r="8" spans="2:3" x14ac:dyDescent="0.2">
      <c r="B8" t="s">
        <v>30</v>
      </c>
      <c r="C8" s="1">
        <v>34250</v>
      </c>
    </row>
    <row r="9" spans="2:3" x14ac:dyDescent="0.2">
      <c r="B9" t="s">
        <v>31</v>
      </c>
      <c r="C9" s="1">
        <v>39000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Fórmula LA</vt:lpstr>
      <vt:lpstr>Fórmula ARR</vt:lpstr>
      <vt:lpstr>Planeación Pedido</vt:lpstr>
      <vt:lpstr>Requisitos Pedido</vt:lpstr>
      <vt:lpstr>Hoja2</vt:lpstr>
      <vt:lpstr>Hoja1</vt:lpstr>
      <vt:lpstr>Requerimientos MP</vt:lpstr>
      <vt:lpstr>Inventario</vt:lpstr>
      <vt:lpstr>Leche Condensada</vt:lpstr>
      <vt:lpstr>'Planeación Pedido'!Print_Area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Morales</dc:creator>
  <cp:lastModifiedBy>Microsoft Office User</cp:lastModifiedBy>
  <cp:lastPrinted>2019-07-23T22:44:05Z</cp:lastPrinted>
  <dcterms:created xsi:type="dcterms:W3CDTF">2018-06-22T23:04:23Z</dcterms:created>
  <dcterms:modified xsi:type="dcterms:W3CDTF">2020-03-28T19:40:03Z</dcterms:modified>
</cp:coreProperties>
</file>