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imsu\Downloads\"/>
    </mc:Choice>
  </mc:AlternateContent>
  <xr:revisionPtr revIDLastSave="0" documentId="13_ncr:1_{3F780FD4-3E80-4D41-B740-E2FA45B3F20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로지스틱 -1 " sheetId="3" r:id="rId1"/>
    <sheet name="로지스틱 -2" sheetId="8" r:id="rId2"/>
    <sheet name="로지스틱 -3" sheetId="7" r:id="rId3"/>
    <sheet name="KNN-1" sheetId="9" r:id="rId4"/>
    <sheet name="KNN-2" sheetId="10" r:id="rId5"/>
    <sheet name="비용함수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0zknpBNXdIbNE9fSxanjI50nSNQ=="/>
    </ext>
  </extLst>
</workbook>
</file>

<file path=xl/calcChain.xml><?xml version="1.0" encoding="utf-8"?>
<calcChain xmlns="http://schemas.openxmlformats.org/spreadsheetml/2006/main">
  <c r="M21" i="10" l="1"/>
  <c r="M20" i="10"/>
  <c r="M22" i="10"/>
  <c r="M19" i="10"/>
  <c r="L19" i="10"/>
  <c r="M18" i="10"/>
  <c r="L18" i="10"/>
  <c r="M17" i="10"/>
  <c r="M16" i="10"/>
  <c r="M15" i="10"/>
  <c r="L15" i="10"/>
  <c r="M14" i="10"/>
  <c r="L14" i="10"/>
  <c r="M13" i="10"/>
  <c r="L13" i="10"/>
  <c r="M12" i="10"/>
  <c r="O11" i="10"/>
  <c r="M11" i="10"/>
  <c r="M10" i="10"/>
  <c r="L10" i="10"/>
  <c r="M9" i="10"/>
  <c r="L9" i="10"/>
  <c r="P8" i="10"/>
  <c r="M8" i="10"/>
  <c r="L8" i="10"/>
  <c r="P7" i="10"/>
  <c r="M7" i="10"/>
  <c r="L7" i="10"/>
  <c r="L23" i="10" s="1"/>
  <c r="M22" i="9"/>
  <c r="M21" i="9"/>
  <c r="M20" i="9"/>
  <c r="O11" i="9"/>
  <c r="P8" i="9"/>
  <c r="M19" i="9"/>
  <c r="L19" i="9"/>
  <c r="M18" i="9"/>
  <c r="L18" i="9"/>
  <c r="M17" i="9"/>
  <c r="M16" i="9"/>
  <c r="M15" i="9"/>
  <c r="L15" i="9"/>
  <c r="M14" i="9"/>
  <c r="L14" i="9"/>
  <c r="M13" i="9"/>
  <c r="L13" i="9"/>
  <c r="M12" i="9"/>
  <c r="M11" i="9"/>
  <c r="M10" i="9"/>
  <c r="L10" i="9"/>
  <c r="M9" i="9"/>
  <c r="L9" i="9"/>
  <c r="M8" i="9"/>
  <c r="L8" i="9"/>
  <c r="P7" i="9"/>
  <c r="M7" i="9"/>
  <c r="M23" i="9" s="1"/>
  <c r="L7" i="9"/>
  <c r="L23" i="9" s="1"/>
  <c r="M22" i="7"/>
  <c r="M16" i="7"/>
  <c r="M21" i="7"/>
  <c r="M20" i="7"/>
  <c r="O11" i="7"/>
  <c r="P8" i="7"/>
  <c r="P7" i="7"/>
  <c r="M21" i="8"/>
  <c r="M20" i="8"/>
  <c r="M22" i="8"/>
  <c r="M16" i="8"/>
  <c r="O11" i="8"/>
  <c r="P8" i="8"/>
  <c r="P7" i="8"/>
  <c r="L23" i="8"/>
  <c r="M19" i="8"/>
  <c r="L19" i="8"/>
  <c r="M18" i="8"/>
  <c r="L18" i="8"/>
  <c r="M17" i="8"/>
  <c r="M15" i="8"/>
  <c r="L15" i="8"/>
  <c r="M14" i="8"/>
  <c r="L14" i="8"/>
  <c r="M13" i="8"/>
  <c r="L13" i="8"/>
  <c r="M12" i="8"/>
  <c r="M11" i="8"/>
  <c r="M10" i="8"/>
  <c r="L10" i="8"/>
  <c r="M9" i="8"/>
  <c r="L9" i="8"/>
  <c r="M8" i="8"/>
  <c r="L8" i="8"/>
  <c r="M7" i="8"/>
  <c r="L7" i="8"/>
  <c r="M19" i="7"/>
  <c r="L19" i="7"/>
  <c r="M18" i="7"/>
  <c r="L18" i="7"/>
  <c r="M17" i="7"/>
  <c r="M15" i="7"/>
  <c r="L15" i="7"/>
  <c r="M14" i="7"/>
  <c r="L14" i="7"/>
  <c r="M13" i="7"/>
  <c r="L13" i="7"/>
  <c r="M12" i="7"/>
  <c r="M11" i="7"/>
  <c r="M10" i="7"/>
  <c r="L10" i="7"/>
  <c r="M9" i="7"/>
  <c r="L9" i="7"/>
  <c r="M8" i="7"/>
  <c r="L8" i="7"/>
  <c r="M7" i="7"/>
  <c r="M23" i="7" s="1"/>
  <c r="L7" i="7"/>
  <c r="L23" i="7" s="1"/>
  <c r="M20" i="3"/>
  <c r="M21" i="3"/>
  <c r="M22" i="3"/>
  <c r="M15" i="3"/>
  <c r="M16" i="3"/>
  <c r="P8" i="3"/>
  <c r="P7" i="3"/>
  <c r="M19" i="3"/>
  <c r="L19" i="3"/>
  <c r="M18" i="3"/>
  <c r="L18" i="3"/>
  <c r="M17" i="3"/>
  <c r="L15" i="3"/>
  <c r="M14" i="3"/>
  <c r="L14" i="3"/>
  <c r="M13" i="3"/>
  <c r="L13" i="3"/>
  <c r="M12" i="3"/>
  <c r="M11" i="3"/>
  <c r="M10" i="3"/>
  <c r="L10" i="3"/>
  <c r="M9" i="3"/>
  <c r="L9" i="3"/>
  <c r="M8" i="3"/>
  <c r="L8" i="3"/>
  <c r="M7" i="3"/>
  <c r="L7" i="3"/>
  <c r="M23" i="10" l="1"/>
  <c r="M23" i="8"/>
  <c r="M23" i="3"/>
  <c r="L23" i="3"/>
</calcChain>
</file>

<file path=xl/sharedStrings.xml><?xml version="1.0" encoding="utf-8"?>
<sst xmlns="http://schemas.openxmlformats.org/spreadsheetml/2006/main" count="313" uniqueCount="81">
  <si>
    <t>센서 도입과 상관없이 똑같이 나가는 비용(주로 자연누수 관련)</t>
  </si>
  <si>
    <t>센서 도입하면 값이 변경되는 비용</t>
  </si>
  <si>
    <t>센서 도입 시 추가로 나가게 되는 비용</t>
  </si>
  <si>
    <t>분류</t>
  </si>
  <si>
    <t>색</t>
  </si>
  <si>
    <t>비용 분류</t>
  </si>
  <si>
    <t>단가 (₩/주)</t>
  </si>
  <si>
    <t>센서 도입 전 비용 (₩/월))</t>
  </si>
  <si>
    <t>센서 도입 후 비용 (₩/ 월)</t>
  </si>
  <si>
    <t>인건비</t>
  </si>
  <si>
    <t>보수</t>
  </si>
  <si>
    <t>₩ 500,000 (명)</t>
  </si>
  <si>
    <t>식대</t>
  </si>
  <si>
    <t>₩ 50,000 (명)</t>
  </si>
  <si>
    <t>4대 보험</t>
  </si>
  <si>
    <t>상여금</t>
  </si>
  <si>
    <t>₩ 125,000(명)</t>
  </si>
  <si>
    <t>퇴직금
(₩ 일 평균임금 × 30(일) × (재직일수/365))</t>
  </si>
  <si>
    <t>₩41,100(명)</t>
  </si>
  <si>
    <t>신규 직원 채용</t>
  </si>
  <si>
    <t>₩ 35,000(명)</t>
  </si>
  <si>
    <t>서비스 운영비
(정기 점검)</t>
  </si>
  <si>
    <t>차량 운용 및 관리유지비(리스)</t>
  </si>
  <si>
    <t>₩ 250,000(대)</t>
  </si>
  <si>
    <t>출장 숙소 비용</t>
  </si>
  <si>
    <t>₩60,000(명)</t>
  </si>
  <si>
    <t>교통지원금</t>
  </si>
  <si>
    <t>₩ 50,000(명)</t>
  </si>
  <si>
    <t xml:space="preserve">컨설팅비용 </t>
  </si>
  <si>
    <t>장비 관련 비용</t>
  </si>
  <si>
    <t>수도관 교체</t>
  </si>
  <si>
    <t xml:space="preserve">₩ 100,000 (건) </t>
  </si>
  <si>
    <t>수도관 부품 교체</t>
  </si>
  <si>
    <t>센서 교체 비용
(₩ 최적 센서 조합 가격 × 누수건수)</t>
  </si>
  <si>
    <t>₩  110000(명)(건)</t>
  </si>
  <si>
    <t>비용 총계</t>
  </si>
  <si>
    <t>한달기준</t>
  </si>
  <si>
    <t>기존 비용함수 : 한글 부분에 주 단위 단가 대입하기</t>
  </si>
  <si>
    <t>총 비용 = 보수*1000명*4주+식대*1000명*4주+4대보험비*1000명*4주+상여금*1000명*4주+차량리스비*100*4주+출장 숙소 비용*1000명*4주+교통지원금*1000명*4주+수도관교체*100+수도관 부품 교체*4주</t>
  </si>
  <si>
    <r>
      <rPr>
        <b/>
        <sz val="11"/>
        <color rgb="FF000000"/>
        <rFont val="Calibri"/>
        <family val="2"/>
      </rPr>
      <t>총 비용</t>
    </r>
    <r>
      <rPr>
        <sz val="11"/>
        <color rgb="FF000000"/>
        <rFont val="Calibri"/>
        <family val="2"/>
      </rPr>
      <t xml:space="preserve"> = (보수+식대+4대보험비+상여금+차량리스비*10%+출장 숙소 비용+교통지원금)*4주*1000명+수도관교체*100+수도관 부품 교체*4주</t>
    </r>
  </si>
  <si>
    <t>차량 개수는 전체 사원 수의 10%</t>
  </si>
  <si>
    <t>새 비용함수 : 한글 부분에 주 단위 단가 대입하기</t>
  </si>
  <si>
    <t>총 비용 = 보수*250명*4주+ 식대*250명*4주+4대보험비*250명*4주+상여금*250명*4주+ 차량리스비*25명*4주+ 출장숙소비용*250명+ 교통지원금*250명*4주+누수보상비용*100(예측)*0.09+주당컨설팅비용*4+ 수도관교체*500*0.5/12+ 수도권부품교체*5000(전체수도관개수)*0.5/12*4주+ 최적센서가격*최적개수*5000/12+ 최적센서조합가격*  + 누수발생하지 않았으나 센서알림으로 인한 출장비 *FP</t>
  </si>
  <si>
    <r>
      <rPr>
        <sz val="11"/>
        <color theme="1"/>
        <rFont val="맑은 고딕"/>
        <family val="3"/>
        <charset val="129"/>
      </rPr>
      <t>누수에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대한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보상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비용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FN</t>
    </r>
    <phoneticPr fontId="8" type="noConversion"/>
  </si>
  <si>
    <r>
      <rPr>
        <sz val="11"/>
        <color theme="1"/>
        <rFont val="맑은 고딕"/>
        <family val="3"/>
        <charset val="129"/>
      </rPr>
      <t>실제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누수가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발생하지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않았으나
센서가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울린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발생할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 xml:space="preserve">출장비 </t>
    </r>
    <r>
      <rPr>
        <sz val="11"/>
        <color rgb="FFFF0000"/>
        <rFont val="Calibri"/>
        <family val="2"/>
      </rPr>
      <t>FP</t>
    </r>
    <phoneticPr fontId="8" type="noConversion"/>
  </si>
  <si>
    <t>로지스틱 1</t>
    <phoneticPr fontId="8" type="noConversion"/>
  </si>
  <si>
    <t>Predict</t>
    <phoneticPr fontId="8" type="noConversion"/>
  </si>
  <si>
    <t>Positive</t>
    <phoneticPr fontId="8" type="noConversion"/>
  </si>
  <si>
    <t>Negative</t>
    <phoneticPr fontId="8" type="noConversion"/>
  </si>
  <si>
    <t>Actual</t>
    <phoneticPr fontId="8" type="noConversion"/>
  </si>
  <si>
    <t>TN</t>
    <phoneticPr fontId="8" type="noConversion"/>
  </si>
  <si>
    <t>100 (fixed)</t>
    <phoneticPr fontId="8" type="noConversion"/>
  </si>
  <si>
    <t>FNR =</t>
    <phoneticPr fontId="8" type="noConversion"/>
  </si>
  <si>
    <t>FPR =</t>
    <phoneticPr fontId="8" type="noConversion"/>
  </si>
  <si>
    <t>FN (7.41)</t>
    <phoneticPr fontId="8" type="noConversion"/>
  </si>
  <si>
    <t>TP (92.59)</t>
    <phoneticPr fontId="8" type="noConversion"/>
  </si>
  <si>
    <t>fpr = FP / (TP + FP)</t>
    <phoneticPr fontId="8" type="noConversion"/>
  </si>
  <si>
    <t>FP (7.41)</t>
    <phoneticPr fontId="8" type="noConversion"/>
  </si>
  <si>
    <t>fnr = FN / (TP + FN)</t>
    <phoneticPr fontId="8" type="noConversion"/>
  </si>
  <si>
    <r>
      <t>₩ 5,000,000(</t>
    </r>
    <r>
      <rPr>
        <sz val="11"/>
        <color rgb="FF000000"/>
        <rFont val="맑은 고딕"/>
        <family val="3"/>
        <charset val="129"/>
      </rPr>
      <t>건</t>
    </r>
    <r>
      <rPr>
        <sz val="11"/>
        <color rgb="FF000000"/>
        <rFont val="Calibri"/>
        <family val="2"/>
      </rPr>
      <t>)</t>
    </r>
    <phoneticPr fontId="8" type="noConversion"/>
  </si>
  <si>
    <r>
      <rPr>
        <b/>
        <sz val="11"/>
        <color rgb="FF000000"/>
        <rFont val="맑은 고딕"/>
        <family val="3"/>
        <charset val="129"/>
      </rPr>
      <t>총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비용</t>
    </r>
    <r>
      <rPr>
        <sz val="11"/>
        <color rgb="FF000000"/>
        <rFont val="Calibri"/>
        <family val="2"/>
      </rPr>
      <t xml:space="preserve"> =(</t>
    </r>
    <r>
      <rPr>
        <sz val="11"/>
        <color rgb="FF000000"/>
        <rFont val="맑은 고딕"/>
        <family val="3"/>
        <charset val="129"/>
      </rPr>
      <t>보수</t>
    </r>
    <r>
      <rPr>
        <sz val="11"/>
        <color rgb="FF000000"/>
        <rFont val="Calibri"/>
        <family val="2"/>
      </rPr>
      <t xml:space="preserve">+ </t>
    </r>
    <r>
      <rPr>
        <sz val="11"/>
        <color rgb="FF000000"/>
        <rFont val="맑은 고딕"/>
        <family val="3"/>
        <charset val="129"/>
      </rPr>
      <t>식대</t>
    </r>
    <r>
      <rPr>
        <sz val="11"/>
        <color rgb="FF000000"/>
        <rFont val="Calibri"/>
        <family val="2"/>
      </rPr>
      <t>+4</t>
    </r>
    <r>
      <rPr>
        <sz val="11"/>
        <color rgb="FF000000"/>
        <rFont val="맑은 고딕"/>
        <family val="3"/>
        <charset val="129"/>
      </rPr>
      <t>대보험비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3"/>
        <charset val="129"/>
      </rPr>
      <t>상여금</t>
    </r>
    <r>
      <rPr>
        <sz val="11"/>
        <color rgb="FF000000"/>
        <rFont val="Calibri"/>
        <family val="2"/>
      </rPr>
      <t xml:space="preserve">+ </t>
    </r>
    <r>
      <rPr>
        <sz val="11"/>
        <color rgb="FF000000"/>
        <rFont val="맑은 고딕"/>
        <family val="3"/>
        <charset val="129"/>
      </rPr>
      <t>차량리스비</t>
    </r>
    <r>
      <rPr>
        <sz val="11"/>
        <color rgb="FF000000"/>
        <rFont val="Calibri"/>
        <family val="2"/>
      </rPr>
      <t>*0.1)*250</t>
    </r>
    <r>
      <rPr>
        <sz val="11"/>
        <color rgb="FF000000"/>
        <rFont val="맑은 고딕"/>
        <family val="3"/>
        <charset val="129"/>
      </rPr>
      <t>명</t>
    </r>
    <r>
      <rPr>
        <sz val="11"/>
        <color rgb="FF000000"/>
        <rFont val="Calibri"/>
        <family val="2"/>
      </rPr>
      <t>*4</t>
    </r>
    <r>
      <rPr>
        <sz val="11"/>
        <color rgb="FF000000"/>
        <rFont val="맑은 고딕"/>
        <family val="3"/>
        <charset val="129"/>
      </rPr>
      <t>주</t>
    </r>
    <r>
      <rPr>
        <sz val="11"/>
        <color rgb="FF000000"/>
        <rFont val="Calibri"/>
        <family val="2"/>
      </rPr>
      <t xml:space="preserve">+ </t>
    </r>
    <r>
      <rPr>
        <sz val="11"/>
        <color rgb="FF000000"/>
        <rFont val="맑은 고딕"/>
        <family val="3"/>
        <charset val="129"/>
      </rPr>
      <t>출장숙소비용</t>
    </r>
    <r>
      <rPr>
        <sz val="11"/>
        <color rgb="FF000000"/>
        <rFont val="Calibri"/>
        <family val="2"/>
      </rPr>
      <t>*250</t>
    </r>
    <r>
      <rPr>
        <sz val="11"/>
        <color rgb="FF000000"/>
        <rFont val="맑은 고딕"/>
        <family val="3"/>
        <charset val="129"/>
      </rPr>
      <t>명</t>
    </r>
    <r>
      <rPr>
        <sz val="11"/>
        <color rgb="FF000000"/>
        <rFont val="Calibri"/>
        <family val="2"/>
      </rPr>
      <t xml:space="preserve">+ </t>
    </r>
    <r>
      <rPr>
        <sz val="11"/>
        <color rgb="FF000000"/>
        <rFont val="맑은 고딕"/>
        <family val="3"/>
        <charset val="129"/>
      </rPr>
      <t>교통지원금</t>
    </r>
    <r>
      <rPr>
        <sz val="11"/>
        <color rgb="FF000000"/>
        <rFont val="Calibri"/>
        <family val="2"/>
      </rPr>
      <t>*250</t>
    </r>
    <r>
      <rPr>
        <sz val="11"/>
        <color rgb="FF000000"/>
        <rFont val="맑은 고딕"/>
        <family val="3"/>
        <charset val="129"/>
      </rPr>
      <t>명</t>
    </r>
    <r>
      <rPr>
        <sz val="11"/>
        <color rgb="FF000000"/>
        <rFont val="Calibri"/>
        <family val="2"/>
      </rPr>
      <t>*4</t>
    </r>
    <r>
      <rPr>
        <sz val="11"/>
        <color rgb="FF000000"/>
        <rFont val="맑은 고딕"/>
        <family val="3"/>
        <charset val="129"/>
      </rPr>
      <t>주</t>
    </r>
    <r>
      <rPr>
        <sz val="11"/>
        <color rgb="FF000000"/>
        <rFont val="Calibri"/>
        <family val="2"/>
      </rPr>
      <t>+</t>
    </r>
    <r>
      <rPr>
        <sz val="11"/>
        <color rgb="FF000000"/>
        <rFont val="맑은 고딕"/>
        <family val="3"/>
        <charset val="129"/>
      </rPr>
      <t>누수보상비용</t>
    </r>
    <r>
      <rPr>
        <sz val="11"/>
        <color rgb="FF000000"/>
        <rFont val="Calibri"/>
        <family val="2"/>
      </rPr>
      <t xml:space="preserve">*100*0.09+
</t>
    </r>
    <r>
      <rPr>
        <sz val="11"/>
        <color rgb="FF000000"/>
        <rFont val="맑은 고딕"/>
        <family val="3"/>
        <charset val="129"/>
      </rPr>
      <t>주당컨설팅비용</t>
    </r>
    <r>
      <rPr>
        <sz val="11"/>
        <color rgb="FF000000"/>
        <rFont val="Calibri"/>
        <family val="2"/>
      </rPr>
      <t xml:space="preserve">*4+ </t>
    </r>
    <r>
      <rPr>
        <sz val="11"/>
        <color rgb="FF000000"/>
        <rFont val="맑은 고딕"/>
        <family val="3"/>
        <charset val="129"/>
      </rPr>
      <t>수도관교체</t>
    </r>
    <r>
      <rPr>
        <sz val="11"/>
        <color rgb="FF000000"/>
        <rFont val="Calibri"/>
        <family val="2"/>
      </rPr>
      <t xml:space="preserve">*100+ </t>
    </r>
    <r>
      <rPr>
        <sz val="11"/>
        <color rgb="FF000000"/>
        <rFont val="맑은 고딕"/>
        <family val="3"/>
        <charset val="129"/>
      </rPr>
      <t>수도권부품교체</t>
    </r>
    <r>
      <rPr>
        <sz val="11"/>
        <color rgb="FF000000"/>
        <rFont val="Calibri"/>
        <family val="2"/>
      </rPr>
      <t>*4</t>
    </r>
    <r>
      <rPr>
        <sz val="11"/>
        <color rgb="FF000000"/>
        <rFont val="맑은 고딕"/>
        <family val="3"/>
        <charset val="129"/>
      </rPr>
      <t>주</t>
    </r>
    <r>
      <rPr>
        <sz val="11"/>
        <color rgb="FF000000"/>
        <rFont val="Calibri"/>
        <family val="2"/>
      </rPr>
      <t xml:space="preserve">+ </t>
    </r>
    <r>
      <rPr>
        <sz val="11"/>
        <color rgb="FF000000"/>
        <rFont val="맑은 고딕"/>
        <family val="3"/>
        <charset val="129"/>
      </rPr>
      <t>최적센서조합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가격</t>
    </r>
    <r>
      <rPr>
        <sz val="11"/>
        <color rgb="FF000000"/>
        <rFont val="Calibri"/>
        <family val="2"/>
      </rPr>
      <t xml:space="preserve">*5000/12+ </t>
    </r>
    <r>
      <rPr>
        <sz val="11"/>
        <color rgb="FF000000"/>
        <rFont val="맑은 고딕"/>
        <family val="3"/>
        <charset val="129"/>
      </rPr>
      <t>최적센서조합가격</t>
    </r>
    <r>
      <rPr>
        <sz val="11"/>
        <color rgb="FF000000"/>
        <rFont val="Calibri"/>
        <family val="2"/>
      </rPr>
      <t xml:space="preserve">* 100 + </t>
    </r>
    <r>
      <rPr>
        <sz val="11"/>
        <color rgb="FF000000"/>
        <rFont val="맑은 고딕"/>
        <family val="3"/>
        <charset val="129"/>
      </rPr>
      <t>누수발생하지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않았으나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센서알림으로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인한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출장비</t>
    </r>
    <r>
      <rPr>
        <sz val="11"/>
        <color rgb="FF000000"/>
        <rFont val="Calibri"/>
        <family val="2"/>
      </rPr>
      <t xml:space="preserve"> *FP</t>
    </r>
    <phoneticPr fontId="8" type="noConversion"/>
  </si>
  <si>
    <r>
      <rPr>
        <sz val="11"/>
        <color theme="1"/>
        <rFont val="맑은 고딕"/>
        <family val="3"/>
        <charset val="129"/>
      </rPr>
      <t>센서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구매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주문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비용</t>
    </r>
    <r>
      <rPr>
        <sz val="11"/>
        <color theme="1"/>
        <rFont val="Calibri"/>
        <family val="3"/>
        <charset val="129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(₩ </t>
    </r>
    <r>
      <rPr>
        <sz val="11"/>
        <color theme="1"/>
        <rFont val="맑은 고딕"/>
        <family val="3"/>
        <charset val="129"/>
      </rPr>
      <t>최적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센서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조합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alibri"/>
        <family val="2"/>
        <scheme val="minor"/>
      </rPr>
      <t xml:space="preserve"> × 5000/12)</t>
    </r>
    <phoneticPr fontId="8" type="noConversion"/>
  </si>
  <si>
    <r>
      <t>₩ 50,000(</t>
    </r>
    <r>
      <rPr>
        <sz val="11"/>
        <color theme="1"/>
        <rFont val="맑은 고딕"/>
        <family val="3"/>
        <charset val="129"/>
      </rPr>
      <t>주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</si>
  <si>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>₩</t>
    </r>
    <r>
      <rPr>
        <sz val="11"/>
        <color rgb="FF000000"/>
        <rFont val="Arial Unicode MS"/>
        <family val="2"/>
        <charset val="129"/>
      </rPr>
      <t xml:space="preserve"> </t>
    </r>
    <r>
      <rPr>
        <sz val="11"/>
        <color rgb="FF000000"/>
        <rFont val="Calibri"/>
        <family val="2"/>
      </rPr>
      <t>10000 (</t>
    </r>
    <r>
      <rPr>
        <sz val="11"/>
        <color rgb="FF000000"/>
        <rFont val="맑은 고딕"/>
        <family val="3"/>
        <charset val="129"/>
      </rPr>
      <t>주</t>
    </r>
    <r>
      <rPr>
        <sz val="11"/>
        <color rgb="FF000000"/>
        <rFont val="Calibri"/>
        <family val="2"/>
      </rPr>
      <t>)</t>
    </r>
    <phoneticPr fontId="8" type="noConversion"/>
  </si>
  <si>
    <r>
      <t>₩</t>
    </r>
    <r>
      <rPr>
        <sz val="11"/>
        <color rgb="FF000000"/>
        <rFont val="Arial Unicode MS"/>
        <family val="2"/>
        <charset val="129"/>
      </rPr>
      <t xml:space="preserve"> </t>
    </r>
    <r>
      <rPr>
        <sz val="11"/>
        <color rgb="FF000000"/>
        <rFont val="Calibri"/>
        <family val="2"/>
      </rPr>
      <t>61800 (</t>
    </r>
    <r>
      <rPr>
        <sz val="11"/>
        <color rgb="FF000000"/>
        <rFont val="Arial Unicode MS"/>
        <family val="2"/>
        <charset val="129"/>
      </rPr>
      <t>수도관)</t>
    </r>
    <phoneticPr fontId="8" type="noConversion"/>
  </si>
  <si>
    <r>
      <t>₩ 61800 (</t>
    </r>
    <r>
      <rPr>
        <sz val="11"/>
        <color rgb="FF000000"/>
        <rFont val="Arial Unicode MS"/>
        <family val="2"/>
        <charset val="129"/>
      </rPr>
      <t>건</t>
    </r>
    <r>
      <rPr>
        <sz val="11"/>
        <color rgb="FF000000"/>
        <rFont val="Calibri"/>
        <family val="2"/>
      </rPr>
      <t>)</t>
    </r>
    <phoneticPr fontId="8" type="noConversion"/>
  </si>
  <si>
    <t>FN (11.11)</t>
    <phoneticPr fontId="8" type="noConversion"/>
  </si>
  <si>
    <t>TP (88.89)</t>
    <phoneticPr fontId="8" type="noConversion"/>
  </si>
  <si>
    <t>로지스틱 2</t>
    <phoneticPr fontId="8" type="noConversion"/>
  </si>
  <si>
    <r>
      <t>₩</t>
    </r>
    <r>
      <rPr>
        <sz val="11"/>
        <color rgb="FF000000"/>
        <rFont val="Arial Unicode MS"/>
        <family val="2"/>
        <charset val="129"/>
      </rPr>
      <t xml:space="preserve"> </t>
    </r>
    <r>
      <rPr>
        <sz val="11"/>
        <color rgb="FF000000"/>
        <rFont val="Calibri"/>
        <family val="2"/>
      </rPr>
      <t>26400 (</t>
    </r>
    <r>
      <rPr>
        <sz val="11"/>
        <color rgb="FF000000"/>
        <rFont val="Arial Unicode MS"/>
        <family val="2"/>
        <charset val="129"/>
      </rPr>
      <t>수도관)</t>
    </r>
    <phoneticPr fontId="8" type="noConversion"/>
  </si>
  <si>
    <r>
      <t>₩ 26400 (</t>
    </r>
    <r>
      <rPr>
        <sz val="11"/>
        <color rgb="FF000000"/>
        <rFont val="Arial Unicode MS"/>
        <family val="2"/>
        <charset val="129"/>
      </rPr>
      <t>건</t>
    </r>
    <r>
      <rPr>
        <sz val="11"/>
        <color rgb="FF000000"/>
        <rFont val="Calibri"/>
        <family val="2"/>
      </rPr>
      <t>)</t>
    </r>
    <phoneticPr fontId="8" type="noConversion"/>
  </si>
  <si>
    <t>로지스틱 3</t>
    <phoneticPr fontId="8" type="noConversion"/>
  </si>
  <si>
    <r>
      <t>₩</t>
    </r>
    <r>
      <rPr>
        <sz val="11"/>
        <color rgb="FF000000"/>
        <rFont val="Arial Unicode MS"/>
        <family val="2"/>
        <charset val="129"/>
      </rPr>
      <t xml:space="preserve"> </t>
    </r>
    <r>
      <rPr>
        <sz val="11"/>
        <color rgb="FF000000"/>
        <rFont val="Calibri"/>
        <family val="2"/>
      </rPr>
      <t>32400 (</t>
    </r>
    <r>
      <rPr>
        <sz val="11"/>
        <color rgb="FF000000"/>
        <rFont val="Arial Unicode MS"/>
        <family val="2"/>
        <charset val="129"/>
      </rPr>
      <t>수도관)</t>
    </r>
    <phoneticPr fontId="8" type="noConversion"/>
  </si>
  <si>
    <r>
      <t>₩ 32400 (</t>
    </r>
    <r>
      <rPr>
        <sz val="11"/>
        <color rgb="FF000000"/>
        <rFont val="Arial Unicode MS"/>
        <family val="2"/>
        <charset val="129"/>
      </rPr>
      <t>건</t>
    </r>
    <r>
      <rPr>
        <sz val="11"/>
        <color rgb="FF000000"/>
        <rFont val="Calibri"/>
        <family val="2"/>
      </rPr>
      <t>)</t>
    </r>
    <phoneticPr fontId="8" type="noConversion"/>
  </si>
  <si>
    <t>KNN 1</t>
    <phoneticPr fontId="8" type="noConversion"/>
  </si>
  <si>
    <t>FP (3.7)</t>
    <phoneticPr fontId="8" type="noConversion"/>
  </si>
  <si>
    <r>
      <t>₩</t>
    </r>
    <r>
      <rPr>
        <sz val="11"/>
        <color rgb="FF000000"/>
        <rFont val="Arial Unicode MS"/>
        <family val="2"/>
        <charset val="129"/>
      </rPr>
      <t xml:space="preserve"> 53700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Arial Unicode MS"/>
        <family val="2"/>
        <charset val="129"/>
      </rPr>
      <t>수도관)</t>
    </r>
    <phoneticPr fontId="8" type="noConversion"/>
  </si>
  <si>
    <r>
      <t>₩ 53700 (</t>
    </r>
    <r>
      <rPr>
        <sz val="11"/>
        <color rgb="FF000000"/>
        <rFont val="Arial Unicode MS"/>
        <family val="2"/>
        <charset val="129"/>
      </rPr>
      <t>건</t>
    </r>
    <r>
      <rPr>
        <sz val="11"/>
        <color rgb="FF000000"/>
        <rFont val="Calibri"/>
        <family val="2"/>
      </rPr>
      <t>)</t>
    </r>
    <phoneticPr fontId="8" type="noConversion"/>
  </si>
  <si>
    <t>KNN 2</t>
    <phoneticPr fontId="8" type="noConversion"/>
  </si>
  <si>
    <r>
      <t>₩</t>
    </r>
    <r>
      <rPr>
        <sz val="11"/>
        <color rgb="FF000000"/>
        <rFont val="Arial Unicode MS"/>
        <family val="2"/>
        <charset val="129"/>
      </rPr>
      <t xml:space="preserve"> 64800 </t>
    </r>
    <r>
      <rPr>
        <sz val="11"/>
        <color rgb="FF000000"/>
        <rFont val="Calibri"/>
        <family val="2"/>
      </rPr>
      <t>(</t>
    </r>
    <r>
      <rPr>
        <sz val="11"/>
        <color rgb="FF000000"/>
        <rFont val="Arial Unicode MS"/>
        <family val="2"/>
        <charset val="129"/>
      </rPr>
      <t>수도관)</t>
    </r>
    <phoneticPr fontId="8" type="noConversion"/>
  </si>
  <si>
    <r>
      <t>₩ 64800 (</t>
    </r>
    <r>
      <rPr>
        <sz val="11"/>
        <color rgb="FF000000"/>
        <rFont val="Arial Unicode MS"/>
        <family val="2"/>
        <charset val="129"/>
      </rPr>
      <t>건</t>
    </r>
    <r>
      <rPr>
        <sz val="11"/>
        <color rgb="FF000000"/>
        <rFont val="Calibri"/>
        <family val="2"/>
      </rPr>
      <t>)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</si>
</sst>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₩-412]#,##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맑은 고딕"/>
      <family val="3"/>
      <charset val="129"/>
    </font>
    <font>
      <b/>
      <sz val="11"/>
      <color rgb="FF000000"/>
      <name val="Calibri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Arial Unicode MS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Calibri"/>
      <family val="3"/>
      <charset val="129"/>
    </font>
    <font>
      <sz val="11"/>
      <color rgb="FF000000"/>
      <name val="Arial Unicode MS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F4CCC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/>
    <xf numFmtId="176" fontId="1" fillId="0" borderId="1" xfId="0" applyNumberFormat="1" applyFont="1" applyBorder="1"/>
    <xf numFmtId="176" fontId="4" fillId="3" borderId="0" xfId="0" applyNumberFormat="1" applyFont="1" applyFill="1" applyAlignment="1">
      <alignment horizontal="left"/>
    </xf>
    <xf numFmtId="176" fontId="4" fillId="3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76" fontId="1" fillId="0" borderId="1" xfId="0" applyNumberFormat="1" applyFont="1" applyBorder="1" applyAlignment="1">
      <alignment horizontal="center"/>
    </xf>
    <xf numFmtId="176" fontId="1" fillId="3" borderId="1" xfId="0" applyNumberFormat="1" applyFont="1" applyFill="1" applyBorder="1"/>
    <xf numFmtId="0" fontId="4" fillId="3" borderId="0" xfId="0" applyFont="1" applyFill="1" applyAlignment="1">
      <alignment horizontal="left"/>
    </xf>
    <xf numFmtId="176" fontId="1" fillId="0" borderId="1" xfId="0" applyNumberFormat="1" applyFont="1" applyBorder="1" applyAlignment="1">
      <alignment horizontal="right"/>
    </xf>
    <xf numFmtId="176" fontId="1" fillId="3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176" fontId="4" fillId="8" borderId="1" xfId="0" applyNumberFormat="1" applyFont="1" applyFill="1" applyBorder="1" applyAlignment="1">
      <alignment horizontal="left"/>
    </xf>
    <xf numFmtId="176" fontId="1" fillId="8" borderId="1" xfId="0" applyNumberFormat="1" applyFont="1" applyFill="1" applyBorder="1" applyAlignment="1">
      <alignment horizontal="right"/>
    </xf>
    <xf numFmtId="176" fontId="1" fillId="8" borderId="0" xfId="0" applyNumberFormat="1" applyFont="1" applyFill="1"/>
    <xf numFmtId="176" fontId="1" fillId="0" borderId="13" xfId="0" applyNumberFormat="1" applyFont="1" applyBorder="1" applyAlignment="1">
      <alignment horizontal="right"/>
    </xf>
    <xf numFmtId="0" fontId="1" fillId="0" borderId="14" xfId="0" applyFont="1" applyBorder="1"/>
    <xf numFmtId="176" fontId="1" fillId="0" borderId="15" xfId="0" applyNumberFormat="1" applyFont="1" applyBorder="1"/>
    <xf numFmtId="176" fontId="1" fillId="0" borderId="16" xfId="0" applyNumberFormat="1" applyFont="1" applyBorder="1"/>
    <xf numFmtId="0" fontId="1" fillId="3" borderId="0" xfId="0" applyFont="1" applyFill="1"/>
    <xf numFmtId="0" fontId="1" fillId="2" borderId="0" xfId="0" applyFont="1" applyFill="1"/>
    <xf numFmtId="0" fontId="5" fillId="9" borderId="0" xfId="0" applyFont="1" applyFill="1"/>
    <xf numFmtId="0" fontId="5" fillId="0" borderId="0" xfId="0" applyFont="1"/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left"/>
    </xf>
    <xf numFmtId="0" fontId="1" fillId="2" borderId="17" xfId="0" applyFont="1" applyFill="1" applyBorder="1"/>
    <xf numFmtId="0" fontId="3" fillId="0" borderId="4" xfId="0" applyFont="1" applyBorder="1"/>
    <xf numFmtId="0" fontId="3" fillId="0" borderId="3" xfId="0" applyFont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0" borderId="18" xfId="0" applyFont="1" applyBorder="1" applyAlignment="1">
      <alignment vertical="center"/>
    </xf>
    <xf numFmtId="0" fontId="15" fillId="2" borderId="0" xfId="0" applyFont="1" applyFill="1" applyAlignment="1">
      <alignment horizontal="left" wrapText="1"/>
    </xf>
    <xf numFmtId="176" fontId="1" fillId="12" borderId="1" xfId="0" applyNumberFormat="1" applyFont="1" applyFill="1" applyBorder="1" applyAlignment="1">
      <alignment horizontal="right"/>
    </xf>
    <xf numFmtId="176" fontId="1" fillId="13" borderId="13" xfId="0" applyNumberFormat="1" applyFont="1" applyFill="1" applyBorder="1" applyAlignment="1">
      <alignment horizontal="right"/>
    </xf>
    <xf numFmtId="176" fontId="4" fillId="12" borderId="1" xfId="0" applyNumberFormat="1" applyFont="1" applyFill="1" applyBorder="1" applyAlignment="1">
      <alignment horizontal="left"/>
    </xf>
    <xf numFmtId="0" fontId="1" fillId="8" borderId="1" xfId="0" applyNumberFormat="1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R936"/>
  <sheetViews>
    <sheetView zoomScale="86" zoomScaleNormal="86" workbookViewId="0">
      <selection activeCell="M34" sqref="M34"/>
    </sheetView>
  </sheetViews>
  <sheetFormatPr defaultColWidth="14.44140625" defaultRowHeight="15" customHeight="1" x14ac:dyDescent="0.3"/>
  <cols>
    <col min="1" max="2" width="2.88671875" customWidth="1"/>
    <col min="3" max="8" width="3.109375" customWidth="1"/>
    <col min="9" max="9" width="3.44140625" customWidth="1"/>
    <col min="10" max="10" width="61.33203125" customWidth="1"/>
    <col min="11" max="11" width="21.44140625" customWidth="1"/>
    <col min="12" max="12" width="23.44140625" customWidth="1"/>
    <col min="13" max="13" width="24.5546875" customWidth="1"/>
    <col min="14" max="15" width="8.6640625" customWidth="1"/>
    <col min="16" max="16" width="10.88671875" customWidth="1"/>
    <col min="17" max="17" width="11.44140625" customWidth="1"/>
  </cols>
  <sheetData>
    <row r="1" spans="4:18" ht="16.5" customHeight="1" x14ac:dyDescent="0.3">
      <c r="L1" s="29"/>
      <c r="N1" s="49"/>
      <c r="O1" s="49"/>
      <c r="P1" s="50" t="s">
        <v>49</v>
      </c>
      <c r="Q1" s="48"/>
      <c r="R1" s="49"/>
    </row>
    <row r="2" spans="4:18" ht="16.5" customHeight="1" x14ac:dyDescent="0.3">
      <c r="I2" s="4"/>
      <c r="J2" s="1" t="s">
        <v>0</v>
      </c>
      <c r="L2" s="47" t="s">
        <v>45</v>
      </c>
      <c r="N2" s="49"/>
      <c r="O2" s="49"/>
      <c r="P2" s="53" t="s">
        <v>47</v>
      </c>
      <c r="Q2" s="52" t="s">
        <v>48</v>
      </c>
      <c r="R2" s="49"/>
    </row>
    <row r="3" spans="4:18" ht="16.5" customHeight="1" x14ac:dyDescent="0.3">
      <c r="I3" s="5"/>
      <c r="J3" s="1" t="s">
        <v>1</v>
      </c>
      <c r="L3" s="48"/>
      <c r="N3" s="50" t="s">
        <v>46</v>
      </c>
      <c r="O3" s="53" t="s">
        <v>47</v>
      </c>
      <c r="P3" s="51" t="s">
        <v>55</v>
      </c>
      <c r="Q3" s="51" t="s">
        <v>57</v>
      </c>
      <c r="R3" s="49"/>
    </row>
    <row r="4" spans="4:18" ht="16.5" customHeight="1" thickBot="1" x14ac:dyDescent="0.35">
      <c r="I4" s="6"/>
      <c r="J4" s="1" t="s">
        <v>2</v>
      </c>
      <c r="N4" s="48"/>
      <c r="O4" s="52" t="s">
        <v>48</v>
      </c>
      <c r="P4" s="51" t="s">
        <v>54</v>
      </c>
      <c r="Q4" s="51" t="s">
        <v>50</v>
      </c>
      <c r="R4" s="49"/>
    </row>
    <row r="5" spans="4:18" ht="16.5" customHeight="1" thickBot="1" x14ac:dyDescent="0.35">
      <c r="N5" s="49"/>
      <c r="O5" s="49"/>
      <c r="P5" s="54" t="s">
        <v>51</v>
      </c>
      <c r="Q5" s="49"/>
      <c r="R5" s="49"/>
    </row>
    <row r="6" spans="4:18" ht="16.5" customHeight="1" x14ac:dyDescent="0.3">
      <c r="D6" s="35" t="s">
        <v>3</v>
      </c>
      <c r="E6" s="34"/>
      <c r="F6" s="34"/>
      <c r="G6" s="34"/>
      <c r="H6" s="33"/>
      <c r="I6" s="7" t="s">
        <v>4</v>
      </c>
      <c r="J6" s="7" t="s">
        <v>5</v>
      </c>
      <c r="K6" s="7" t="s">
        <v>6</v>
      </c>
      <c r="L6" s="7" t="s">
        <v>7</v>
      </c>
      <c r="M6" s="7" t="s">
        <v>8</v>
      </c>
      <c r="N6" s="49"/>
      <c r="O6" s="49"/>
      <c r="P6" s="49"/>
      <c r="Q6" s="49"/>
      <c r="R6" s="49"/>
    </row>
    <row r="7" spans="4:18" ht="16.5" customHeight="1" x14ac:dyDescent="0.3">
      <c r="D7" s="36" t="s">
        <v>9</v>
      </c>
      <c r="E7" s="37"/>
      <c r="F7" s="37"/>
      <c r="G7" s="37"/>
      <c r="H7" s="38"/>
      <c r="I7" s="8"/>
      <c r="J7" s="2" t="s">
        <v>10</v>
      </c>
      <c r="K7" s="9" t="s">
        <v>11</v>
      </c>
      <c r="L7" s="9">
        <f>1000*500000*4</f>
        <v>2000000000</v>
      </c>
      <c r="M7" s="9">
        <f>250*500000*4</f>
        <v>500000000</v>
      </c>
      <c r="N7" s="49"/>
      <c r="O7" s="51" t="s">
        <v>52</v>
      </c>
      <c r="P7" s="49">
        <f>0.0741</f>
        <v>7.4099999999999999E-2</v>
      </c>
      <c r="Q7" s="51" t="s">
        <v>58</v>
      </c>
      <c r="R7" s="49"/>
    </row>
    <row r="8" spans="4:18" ht="16.5" customHeight="1" x14ac:dyDescent="0.3">
      <c r="D8" s="39"/>
      <c r="E8" s="40"/>
      <c r="F8" s="40"/>
      <c r="G8" s="40"/>
      <c r="H8" s="41"/>
      <c r="I8" s="8"/>
      <c r="J8" s="2" t="s">
        <v>12</v>
      </c>
      <c r="K8" s="10" t="s">
        <v>13</v>
      </c>
      <c r="L8" s="9">
        <f t="shared" ref="L8:L9" si="0">50000*1000*4</f>
        <v>200000000</v>
      </c>
      <c r="M8" s="9">
        <f t="shared" ref="M8:M9" si="1">50000*250*4</f>
        <v>50000000</v>
      </c>
      <c r="N8" s="49"/>
      <c r="O8" s="51" t="s">
        <v>53</v>
      </c>
      <c r="P8" s="49">
        <f>0.0741</f>
        <v>7.4099999999999999E-2</v>
      </c>
      <c r="Q8" s="51" t="s">
        <v>56</v>
      </c>
      <c r="R8" s="49"/>
    </row>
    <row r="9" spans="4:18" ht="16.5" customHeight="1" x14ac:dyDescent="0.3">
      <c r="D9" s="39"/>
      <c r="E9" s="40"/>
      <c r="F9" s="40"/>
      <c r="G9" s="40"/>
      <c r="H9" s="41"/>
      <c r="I9" s="8"/>
      <c r="J9" s="2" t="s">
        <v>14</v>
      </c>
      <c r="K9" s="11" t="s">
        <v>13</v>
      </c>
      <c r="L9" s="9">
        <f t="shared" si="0"/>
        <v>200000000</v>
      </c>
      <c r="M9" s="9">
        <f t="shared" si="1"/>
        <v>50000000</v>
      </c>
      <c r="N9" s="49"/>
      <c r="O9" s="49"/>
      <c r="P9" s="49"/>
      <c r="Q9" s="49"/>
      <c r="R9" s="49"/>
    </row>
    <row r="10" spans="4:18" ht="16.5" customHeight="1" x14ac:dyDescent="0.3">
      <c r="D10" s="39"/>
      <c r="E10" s="40"/>
      <c r="F10" s="40"/>
      <c r="G10" s="40"/>
      <c r="H10" s="41"/>
      <c r="I10" s="8"/>
      <c r="J10" s="1" t="s">
        <v>15</v>
      </c>
      <c r="K10" s="11" t="s">
        <v>16</v>
      </c>
      <c r="L10" s="9">
        <f>125000*1000*4</f>
        <v>500000000</v>
      </c>
      <c r="M10" s="9">
        <f>125000*250*4</f>
        <v>125000000</v>
      </c>
      <c r="N10" s="49"/>
      <c r="O10" s="49"/>
      <c r="P10" s="49"/>
      <c r="Q10" s="49"/>
      <c r="R10" s="49"/>
    </row>
    <row r="11" spans="4:18" ht="16.5" customHeight="1" x14ac:dyDescent="0.3">
      <c r="D11" s="39"/>
      <c r="E11" s="40"/>
      <c r="F11" s="40"/>
      <c r="G11" s="40"/>
      <c r="H11" s="41"/>
      <c r="I11" s="12"/>
      <c r="J11" s="2" t="s">
        <v>17</v>
      </c>
      <c r="K11" s="11" t="s">
        <v>18</v>
      </c>
      <c r="L11" s="13">
        <v>0</v>
      </c>
      <c r="M11" s="9">
        <f>(500000/5)*30*(52*5/365)/12*775</f>
        <v>138013698.630137</v>
      </c>
    </row>
    <row r="12" spans="4:18" ht="16.5" customHeight="1" x14ac:dyDescent="0.3">
      <c r="D12" s="42"/>
      <c r="E12" s="43"/>
      <c r="F12" s="43"/>
      <c r="G12" s="43"/>
      <c r="H12" s="44"/>
      <c r="I12" s="12"/>
      <c r="J12" s="2" t="s">
        <v>19</v>
      </c>
      <c r="K12" s="11" t="s">
        <v>20</v>
      </c>
      <c r="L12" s="13">
        <v>0</v>
      </c>
      <c r="M12" s="9">
        <f>10%*250*35000*4</f>
        <v>3500000</v>
      </c>
    </row>
    <row r="13" spans="4:18" ht="16.5" customHeight="1" x14ac:dyDescent="0.3">
      <c r="D13" s="36" t="s">
        <v>21</v>
      </c>
      <c r="E13" s="37"/>
      <c r="F13" s="37"/>
      <c r="G13" s="37"/>
      <c r="H13" s="38"/>
      <c r="I13" s="8"/>
      <c r="J13" s="2" t="s">
        <v>22</v>
      </c>
      <c r="K13" s="9" t="s">
        <v>23</v>
      </c>
      <c r="L13" s="9">
        <f>1000*10%*250000*4</f>
        <v>100000000</v>
      </c>
      <c r="M13" s="14">
        <f>250*10%*250000*4</f>
        <v>25000000</v>
      </c>
    </row>
    <row r="14" spans="4:18" ht="16.5" customHeight="1" x14ac:dyDescent="0.3">
      <c r="D14" s="39"/>
      <c r="E14" s="40"/>
      <c r="F14" s="40"/>
      <c r="G14" s="40"/>
      <c r="H14" s="41"/>
      <c r="I14" s="8"/>
      <c r="J14" s="2" t="s">
        <v>24</v>
      </c>
      <c r="K14" s="9" t="s">
        <v>25</v>
      </c>
      <c r="L14" s="9">
        <f>60000*1000*4</f>
        <v>240000000</v>
      </c>
      <c r="M14" s="14">
        <f>250*60000</f>
        <v>15000000</v>
      </c>
    </row>
    <row r="15" spans="4:18" ht="16.5" customHeight="1" x14ac:dyDescent="0.3">
      <c r="D15" s="39"/>
      <c r="E15" s="40"/>
      <c r="F15" s="40"/>
      <c r="G15" s="40"/>
      <c r="H15" s="41"/>
      <c r="I15" s="8"/>
      <c r="J15" s="15" t="s">
        <v>26</v>
      </c>
      <c r="K15" s="11" t="s">
        <v>27</v>
      </c>
      <c r="L15" s="9">
        <f>50000*1000*4</f>
        <v>200000000</v>
      </c>
      <c r="M15" s="14">
        <f>250*50000</f>
        <v>12500000</v>
      </c>
    </row>
    <row r="16" spans="4:18" ht="16.5" customHeight="1" x14ac:dyDescent="0.4">
      <c r="D16" s="39"/>
      <c r="E16" s="40"/>
      <c r="F16" s="40"/>
      <c r="G16" s="40"/>
      <c r="H16" s="41"/>
      <c r="I16" s="8"/>
      <c r="J16" s="45" t="s">
        <v>43</v>
      </c>
      <c r="K16" s="58" t="s">
        <v>59</v>
      </c>
      <c r="L16" s="16">
        <v>0</v>
      </c>
      <c r="M16" s="56">
        <f>100*0.0741* 5000000</f>
        <v>37050000</v>
      </c>
    </row>
    <row r="17" spans="4:15" ht="16.5" customHeight="1" x14ac:dyDescent="0.4">
      <c r="D17" s="42"/>
      <c r="E17" s="43"/>
      <c r="F17" s="43"/>
      <c r="G17" s="43"/>
      <c r="H17" s="44"/>
      <c r="I17" s="12"/>
      <c r="J17" s="2" t="s">
        <v>28</v>
      </c>
      <c r="K17" s="14" t="s">
        <v>62</v>
      </c>
      <c r="L17" s="16">
        <v>0</v>
      </c>
      <c r="M17" s="17">
        <f>50000*4</f>
        <v>200000</v>
      </c>
    </row>
    <row r="18" spans="4:15" ht="16.5" customHeight="1" x14ac:dyDescent="0.3">
      <c r="D18" s="36" t="s">
        <v>29</v>
      </c>
      <c r="E18" s="37"/>
      <c r="F18" s="37"/>
      <c r="G18" s="37"/>
      <c r="H18" s="38"/>
      <c r="I18" s="18"/>
      <c r="J18" s="2" t="s">
        <v>30</v>
      </c>
      <c r="K18" s="11" t="s">
        <v>31</v>
      </c>
      <c r="L18" s="16">
        <f t="shared" ref="L18:M18" si="2">100*100000</f>
        <v>10000000</v>
      </c>
      <c r="M18" s="16">
        <f t="shared" si="2"/>
        <v>10000000</v>
      </c>
    </row>
    <row r="19" spans="4:15" ht="16.5" customHeight="1" x14ac:dyDescent="0.4">
      <c r="D19" s="39"/>
      <c r="E19" s="40"/>
      <c r="F19" s="40"/>
      <c r="G19" s="40"/>
      <c r="H19" s="41"/>
      <c r="I19" s="18"/>
      <c r="J19" s="1" t="s">
        <v>32</v>
      </c>
      <c r="K19" s="11" t="s">
        <v>63</v>
      </c>
      <c r="L19" s="16">
        <f t="shared" ref="L19:M19" si="3">4*10000</f>
        <v>40000</v>
      </c>
      <c r="M19" s="16">
        <f t="shared" si="3"/>
        <v>40000</v>
      </c>
      <c r="N19" s="1"/>
    </row>
    <row r="20" spans="4:15" ht="16.5" customHeight="1" x14ac:dyDescent="0.4">
      <c r="D20" s="39"/>
      <c r="E20" s="40"/>
      <c r="F20" s="40"/>
      <c r="G20" s="40"/>
      <c r="H20" s="41"/>
      <c r="I20" s="12"/>
      <c r="J20" s="46" t="s">
        <v>61</v>
      </c>
      <c r="K20" s="19" t="s">
        <v>64</v>
      </c>
      <c r="L20" s="16">
        <v>0</v>
      </c>
      <c r="M20" s="20">
        <f>5000*61800/12</f>
        <v>25750000</v>
      </c>
    </row>
    <row r="21" spans="4:15" ht="16.5" customHeight="1" x14ac:dyDescent="0.35">
      <c r="D21" s="39"/>
      <c r="E21" s="40"/>
      <c r="F21" s="40"/>
      <c r="G21" s="40"/>
      <c r="H21" s="41"/>
      <c r="I21" s="12"/>
      <c r="J21" s="2" t="s">
        <v>33</v>
      </c>
      <c r="K21" s="19" t="s">
        <v>65</v>
      </c>
      <c r="L21" s="16">
        <v>0</v>
      </c>
      <c r="M21" s="59">
        <f>100*61800</f>
        <v>6180000</v>
      </c>
      <c r="O21" s="1"/>
    </row>
    <row r="22" spans="4:15" ht="34.799999999999997" customHeight="1" x14ac:dyDescent="0.4">
      <c r="D22" s="42"/>
      <c r="E22" s="43"/>
      <c r="F22" s="43"/>
      <c r="G22" s="43"/>
      <c r="H22" s="44"/>
      <c r="I22" s="12"/>
      <c r="J22" s="46" t="s">
        <v>44</v>
      </c>
      <c r="K22" s="21" t="s">
        <v>34</v>
      </c>
      <c r="L22" s="22">
        <v>0</v>
      </c>
      <c r="M22" s="57">
        <f>7.41*110000</f>
        <v>815100</v>
      </c>
    </row>
    <row r="23" spans="4:15" ht="16.5" customHeight="1" x14ac:dyDescent="0.3">
      <c r="K23" s="23" t="s">
        <v>35</v>
      </c>
      <c r="L23" s="24">
        <f t="shared" ref="L23:M23" si="4">SUM(L7:L22)</f>
        <v>3450040000</v>
      </c>
      <c r="M23" s="25">
        <f t="shared" si="4"/>
        <v>999048798.63013697</v>
      </c>
    </row>
    <row r="24" spans="4:15" ht="16.5" customHeight="1" x14ac:dyDescent="0.3"/>
    <row r="25" spans="4:15" ht="16.5" customHeight="1" x14ac:dyDescent="0.3"/>
    <row r="26" spans="4:15" ht="16.5" customHeight="1" x14ac:dyDescent="0.3"/>
    <row r="27" spans="4:15" ht="16.5" customHeight="1" x14ac:dyDescent="0.3"/>
    <row r="28" spans="4:15" ht="16.5" customHeight="1" x14ac:dyDescent="0.3"/>
    <row r="29" spans="4:15" ht="16.5" customHeight="1" x14ac:dyDescent="0.3"/>
    <row r="30" spans="4:15" ht="16.5" customHeight="1" x14ac:dyDescent="0.3"/>
    <row r="31" spans="4:15" ht="16.5" customHeight="1" x14ac:dyDescent="0.3"/>
    <row r="32" spans="4:15" ht="16.5" customHeight="1" x14ac:dyDescent="0.3"/>
    <row r="33" spans="1:3" ht="16.5" customHeight="1" x14ac:dyDescent="0.3"/>
    <row r="34" spans="1:3" ht="16.5" customHeight="1" x14ac:dyDescent="0.3"/>
    <row r="35" spans="1:3" ht="16.5" customHeight="1" x14ac:dyDescent="0.3"/>
    <row r="36" spans="1:3" ht="16.5" customHeight="1" x14ac:dyDescent="0.3"/>
    <row r="37" spans="1:3" ht="16.5" customHeight="1" x14ac:dyDescent="0.3">
      <c r="A37" s="3"/>
      <c r="B37" s="3"/>
      <c r="C37" s="3"/>
    </row>
    <row r="38" spans="1:3" ht="16.5" customHeight="1" x14ac:dyDescent="0.3"/>
    <row r="39" spans="1:3" ht="16.5" customHeight="1" x14ac:dyDescent="0.3"/>
    <row r="40" spans="1:3" ht="16.5" customHeight="1" x14ac:dyDescent="0.3"/>
    <row r="41" spans="1:3" ht="16.5" customHeight="1" x14ac:dyDescent="0.3"/>
    <row r="42" spans="1:3" ht="16.5" customHeight="1" x14ac:dyDescent="0.3"/>
    <row r="43" spans="1:3" ht="16.5" customHeight="1" x14ac:dyDescent="0.3"/>
    <row r="44" spans="1:3" ht="16.5" customHeight="1" x14ac:dyDescent="0.3"/>
    <row r="45" spans="1:3" ht="16.5" customHeight="1" x14ac:dyDescent="0.3"/>
    <row r="46" spans="1:3" ht="16.5" customHeight="1" x14ac:dyDescent="0.3"/>
    <row r="47" spans="1:3" ht="16.5" customHeight="1" x14ac:dyDescent="0.3"/>
    <row r="48" spans="1:3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</sheetData>
  <mergeCells count="7">
    <mergeCell ref="P1:Q1"/>
    <mergeCell ref="L2:L3"/>
    <mergeCell ref="N3:N4"/>
    <mergeCell ref="D6:H6"/>
    <mergeCell ref="D7:H12"/>
    <mergeCell ref="D13:H17"/>
    <mergeCell ref="D18:H22"/>
  </mergeCells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233C-8B5F-4F62-B463-76C1BF6EE7E5}">
  <sheetPr>
    <tabColor theme="0"/>
  </sheetPr>
  <dimension ref="A1:R936"/>
  <sheetViews>
    <sheetView topLeftCell="J1" zoomScale="85" zoomScaleNormal="85" workbookViewId="0">
      <selection activeCell="M22" sqref="M22"/>
    </sheetView>
  </sheetViews>
  <sheetFormatPr defaultColWidth="14.44140625" defaultRowHeight="15" customHeight="1" x14ac:dyDescent="0.3"/>
  <cols>
    <col min="1" max="2" width="2.88671875" customWidth="1"/>
    <col min="3" max="8" width="3.109375" customWidth="1"/>
    <col min="9" max="9" width="3.44140625" customWidth="1"/>
    <col min="10" max="10" width="61.33203125" customWidth="1"/>
    <col min="11" max="11" width="21.44140625" customWidth="1"/>
    <col min="12" max="12" width="23.44140625" customWidth="1"/>
    <col min="13" max="13" width="24.5546875" customWidth="1"/>
    <col min="14" max="15" width="8.6640625" customWidth="1"/>
    <col min="16" max="16" width="10.88671875" customWidth="1"/>
    <col min="17" max="17" width="11.44140625" customWidth="1"/>
  </cols>
  <sheetData>
    <row r="1" spans="4:18" ht="16.5" customHeight="1" x14ac:dyDescent="0.3">
      <c r="L1" s="29"/>
      <c r="N1" s="49"/>
      <c r="O1" s="49"/>
      <c r="P1" s="50" t="s">
        <v>49</v>
      </c>
      <c r="Q1" s="48"/>
      <c r="R1" s="49"/>
    </row>
    <row r="2" spans="4:18" ht="16.5" customHeight="1" x14ac:dyDescent="0.3">
      <c r="I2" s="4"/>
      <c r="J2" s="1" t="s">
        <v>0</v>
      </c>
      <c r="L2" s="47" t="s">
        <v>68</v>
      </c>
      <c r="N2" s="49"/>
      <c r="O2" s="49"/>
      <c r="P2" s="53" t="s">
        <v>47</v>
      </c>
      <c r="Q2" s="52" t="s">
        <v>48</v>
      </c>
      <c r="R2" s="49"/>
    </row>
    <row r="3" spans="4:18" ht="16.5" customHeight="1" x14ac:dyDescent="0.3">
      <c r="I3" s="5"/>
      <c r="J3" s="1" t="s">
        <v>1</v>
      </c>
      <c r="L3" s="48"/>
      <c r="N3" s="50" t="s">
        <v>46</v>
      </c>
      <c r="O3" s="53" t="s">
        <v>47</v>
      </c>
      <c r="P3" s="51" t="s">
        <v>67</v>
      </c>
      <c r="Q3" s="51" t="s">
        <v>57</v>
      </c>
      <c r="R3" s="49"/>
    </row>
    <row r="4" spans="4:18" ht="16.5" customHeight="1" thickBot="1" x14ac:dyDescent="0.35">
      <c r="I4" s="6"/>
      <c r="J4" s="1" t="s">
        <v>2</v>
      </c>
      <c r="N4" s="48"/>
      <c r="O4" s="52" t="s">
        <v>48</v>
      </c>
      <c r="P4" s="51" t="s">
        <v>66</v>
      </c>
      <c r="Q4" s="51" t="s">
        <v>50</v>
      </c>
      <c r="R4" s="49"/>
    </row>
    <row r="5" spans="4:18" ht="16.5" customHeight="1" thickBot="1" x14ac:dyDescent="0.35">
      <c r="N5" s="49"/>
      <c r="O5" s="49"/>
      <c r="P5" s="54" t="s">
        <v>51</v>
      </c>
      <c r="Q5" s="49"/>
      <c r="R5" s="49"/>
    </row>
    <row r="6" spans="4:18" ht="16.5" customHeight="1" x14ac:dyDescent="0.3">
      <c r="D6" s="35" t="s">
        <v>3</v>
      </c>
      <c r="E6" s="34"/>
      <c r="F6" s="34"/>
      <c r="G6" s="34"/>
      <c r="H6" s="33"/>
      <c r="I6" s="7" t="s">
        <v>4</v>
      </c>
      <c r="J6" s="7" t="s">
        <v>5</v>
      </c>
      <c r="K6" s="7" t="s">
        <v>6</v>
      </c>
      <c r="L6" s="7" t="s">
        <v>7</v>
      </c>
      <c r="M6" s="7" t="s">
        <v>8</v>
      </c>
      <c r="N6" s="49"/>
      <c r="O6" s="49"/>
      <c r="P6" s="49"/>
      <c r="Q6" s="49"/>
      <c r="R6" s="49"/>
    </row>
    <row r="7" spans="4:18" ht="16.5" customHeight="1" x14ac:dyDescent="0.3">
      <c r="D7" s="36" t="s">
        <v>9</v>
      </c>
      <c r="E7" s="37"/>
      <c r="F7" s="37"/>
      <c r="G7" s="37"/>
      <c r="H7" s="38"/>
      <c r="I7" s="8"/>
      <c r="J7" s="2" t="s">
        <v>10</v>
      </c>
      <c r="K7" s="9" t="s">
        <v>11</v>
      </c>
      <c r="L7" s="9">
        <f>1000*500000*4</f>
        <v>2000000000</v>
      </c>
      <c r="M7" s="9">
        <f>250*500000*4</f>
        <v>500000000</v>
      </c>
      <c r="N7" s="49"/>
      <c r="O7" s="51" t="s">
        <v>52</v>
      </c>
      <c r="P7" s="49">
        <f>0.1111</f>
        <v>0.1111</v>
      </c>
      <c r="Q7" s="51" t="s">
        <v>58</v>
      </c>
      <c r="R7" s="49"/>
    </row>
    <row r="8" spans="4:18" ht="16.5" customHeight="1" x14ac:dyDescent="0.3">
      <c r="D8" s="39"/>
      <c r="E8" s="40"/>
      <c r="F8" s="40"/>
      <c r="G8" s="40"/>
      <c r="H8" s="41"/>
      <c r="I8" s="8"/>
      <c r="J8" s="2" t="s">
        <v>12</v>
      </c>
      <c r="K8" s="10" t="s">
        <v>13</v>
      </c>
      <c r="L8" s="9">
        <f t="shared" ref="L8:L9" si="0">50000*1000*4</f>
        <v>200000000</v>
      </c>
      <c r="M8" s="9">
        <f t="shared" ref="M8:M9" si="1">50000*250*4</f>
        <v>50000000</v>
      </c>
      <c r="N8" s="49"/>
      <c r="O8" s="51" t="s">
        <v>53</v>
      </c>
      <c r="P8" s="49">
        <f>0.0769</f>
        <v>7.6899999999999996E-2</v>
      </c>
      <c r="Q8" s="51" t="s">
        <v>56</v>
      </c>
      <c r="R8" s="49"/>
    </row>
    <row r="9" spans="4:18" ht="16.5" customHeight="1" x14ac:dyDescent="0.3">
      <c r="D9" s="39"/>
      <c r="E9" s="40"/>
      <c r="F9" s="40"/>
      <c r="G9" s="40"/>
      <c r="H9" s="41"/>
      <c r="I9" s="8"/>
      <c r="J9" s="2" t="s">
        <v>14</v>
      </c>
      <c r="K9" s="11" t="s">
        <v>13</v>
      </c>
      <c r="L9" s="9">
        <f t="shared" si="0"/>
        <v>200000000</v>
      </c>
      <c r="M9" s="9">
        <f t="shared" si="1"/>
        <v>50000000</v>
      </c>
      <c r="N9" s="49"/>
      <c r="O9" s="49"/>
      <c r="P9" s="49"/>
      <c r="Q9" s="49"/>
      <c r="R9" s="49"/>
    </row>
    <row r="10" spans="4:18" ht="16.5" customHeight="1" x14ac:dyDescent="0.3">
      <c r="D10" s="39"/>
      <c r="E10" s="40"/>
      <c r="F10" s="40"/>
      <c r="G10" s="40"/>
      <c r="H10" s="41"/>
      <c r="I10" s="8"/>
      <c r="J10" s="1" t="s">
        <v>15</v>
      </c>
      <c r="K10" s="11" t="s">
        <v>16</v>
      </c>
      <c r="L10" s="9">
        <f>125000*1000*4</f>
        <v>500000000</v>
      </c>
      <c r="M10" s="9">
        <f>125000*250*4</f>
        <v>125000000</v>
      </c>
      <c r="N10" s="49"/>
      <c r="O10" s="49"/>
      <c r="P10" s="49"/>
      <c r="Q10" s="49"/>
      <c r="R10" s="49"/>
    </row>
    <row r="11" spans="4:18" ht="16.5" customHeight="1" x14ac:dyDescent="0.3">
      <c r="D11" s="39"/>
      <c r="E11" s="40"/>
      <c r="F11" s="40"/>
      <c r="G11" s="40"/>
      <c r="H11" s="41"/>
      <c r="I11" s="12"/>
      <c r="J11" s="2" t="s">
        <v>17</v>
      </c>
      <c r="K11" s="11" t="s">
        <v>18</v>
      </c>
      <c r="L11" s="13">
        <v>0</v>
      </c>
      <c r="M11" s="9">
        <f>(500000/5)*30*(52*5/365)/12*775</f>
        <v>138013698.630137</v>
      </c>
      <c r="O11">
        <f>88.89*0.0769/(1-0.0769)</f>
        <v>7.4050926226844327</v>
      </c>
    </row>
    <row r="12" spans="4:18" ht="16.5" customHeight="1" x14ac:dyDescent="0.3">
      <c r="D12" s="42"/>
      <c r="E12" s="43"/>
      <c r="F12" s="43"/>
      <c r="G12" s="43"/>
      <c r="H12" s="44"/>
      <c r="I12" s="12"/>
      <c r="J12" s="2" t="s">
        <v>19</v>
      </c>
      <c r="K12" s="11" t="s">
        <v>20</v>
      </c>
      <c r="L12" s="13">
        <v>0</v>
      </c>
      <c r="M12" s="9">
        <f>10%*250*35000*4</f>
        <v>3500000</v>
      </c>
    </row>
    <row r="13" spans="4:18" ht="16.5" customHeight="1" x14ac:dyDescent="0.3">
      <c r="D13" s="36" t="s">
        <v>21</v>
      </c>
      <c r="E13" s="37"/>
      <c r="F13" s="37"/>
      <c r="G13" s="37"/>
      <c r="H13" s="38"/>
      <c r="I13" s="8"/>
      <c r="J13" s="2" t="s">
        <v>22</v>
      </c>
      <c r="K13" s="9" t="s">
        <v>23</v>
      </c>
      <c r="L13" s="9">
        <f>1000*10%*250000*4</f>
        <v>100000000</v>
      </c>
      <c r="M13" s="14">
        <f>250*10%*250000*4</f>
        <v>25000000</v>
      </c>
    </row>
    <row r="14" spans="4:18" ht="16.5" customHeight="1" x14ac:dyDescent="0.3">
      <c r="D14" s="39"/>
      <c r="E14" s="40"/>
      <c r="F14" s="40"/>
      <c r="G14" s="40"/>
      <c r="H14" s="41"/>
      <c r="I14" s="8"/>
      <c r="J14" s="2" t="s">
        <v>24</v>
      </c>
      <c r="K14" s="9" t="s">
        <v>25</v>
      </c>
      <c r="L14" s="9">
        <f>60000*1000*4</f>
        <v>240000000</v>
      </c>
      <c r="M14" s="14">
        <f>250*60000</f>
        <v>15000000</v>
      </c>
    </row>
    <row r="15" spans="4:18" ht="16.5" customHeight="1" x14ac:dyDescent="0.3">
      <c r="D15" s="39"/>
      <c r="E15" s="40"/>
      <c r="F15" s="40"/>
      <c r="G15" s="40"/>
      <c r="H15" s="41"/>
      <c r="I15" s="8"/>
      <c r="J15" s="15" t="s">
        <v>26</v>
      </c>
      <c r="K15" s="11" t="s">
        <v>27</v>
      </c>
      <c r="L15" s="9">
        <f>50000*1000*4</f>
        <v>200000000</v>
      </c>
      <c r="M15" s="14">
        <f>250*50000</f>
        <v>12500000</v>
      </c>
    </row>
    <row r="16" spans="4:18" ht="16.5" customHeight="1" x14ac:dyDescent="0.4">
      <c r="D16" s="39"/>
      <c r="E16" s="40"/>
      <c r="F16" s="40"/>
      <c r="G16" s="40"/>
      <c r="H16" s="41"/>
      <c r="I16" s="8"/>
      <c r="J16" s="45" t="s">
        <v>43</v>
      </c>
      <c r="K16" s="58" t="s">
        <v>59</v>
      </c>
      <c r="L16" s="16">
        <v>0</v>
      </c>
      <c r="M16" s="56">
        <f>100*0.1111* 5000000</f>
        <v>55550000.000000007</v>
      </c>
    </row>
    <row r="17" spans="4:15" ht="16.5" customHeight="1" x14ac:dyDescent="0.4">
      <c r="D17" s="42"/>
      <c r="E17" s="43"/>
      <c r="F17" s="43"/>
      <c r="G17" s="43"/>
      <c r="H17" s="44"/>
      <c r="I17" s="12"/>
      <c r="J17" s="2" t="s">
        <v>28</v>
      </c>
      <c r="K17" s="14" t="s">
        <v>62</v>
      </c>
      <c r="L17" s="16">
        <v>0</v>
      </c>
      <c r="M17" s="17">
        <f>50000*4</f>
        <v>200000</v>
      </c>
    </row>
    <row r="18" spans="4:15" ht="16.5" customHeight="1" x14ac:dyDescent="0.3">
      <c r="D18" s="36" t="s">
        <v>29</v>
      </c>
      <c r="E18" s="37"/>
      <c r="F18" s="37"/>
      <c r="G18" s="37"/>
      <c r="H18" s="38"/>
      <c r="I18" s="18"/>
      <c r="J18" s="2" t="s">
        <v>30</v>
      </c>
      <c r="K18" s="11" t="s">
        <v>31</v>
      </c>
      <c r="L18" s="16">
        <f t="shared" ref="L18:M18" si="2">100*100000</f>
        <v>10000000</v>
      </c>
      <c r="M18" s="16">
        <f t="shared" si="2"/>
        <v>10000000</v>
      </c>
    </row>
    <row r="19" spans="4:15" ht="16.5" customHeight="1" x14ac:dyDescent="0.4">
      <c r="D19" s="39"/>
      <c r="E19" s="40"/>
      <c r="F19" s="40"/>
      <c r="G19" s="40"/>
      <c r="H19" s="41"/>
      <c r="I19" s="18"/>
      <c r="J19" s="1" t="s">
        <v>32</v>
      </c>
      <c r="K19" s="11" t="s">
        <v>63</v>
      </c>
      <c r="L19" s="16">
        <f t="shared" ref="L19:M19" si="3">4*10000</f>
        <v>40000</v>
      </c>
      <c r="M19" s="16">
        <f t="shared" si="3"/>
        <v>40000</v>
      </c>
      <c r="N19" s="1"/>
    </row>
    <row r="20" spans="4:15" ht="16.5" customHeight="1" x14ac:dyDescent="0.4">
      <c r="D20" s="39"/>
      <c r="E20" s="40"/>
      <c r="F20" s="40"/>
      <c r="G20" s="40"/>
      <c r="H20" s="41"/>
      <c r="I20" s="12"/>
      <c r="J20" s="46" t="s">
        <v>61</v>
      </c>
      <c r="K20" s="19" t="s">
        <v>69</v>
      </c>
      <c r="L20" s="16">
        <v>0</v>
      </c>
      <c r="M20" s="20">
        <f>5000*26400/12</f>
        <v>11000000</v>
      </c>
    </row>
    <row r="21" spans="4:15" ht="16.5" customHeight="1" x14ac:dyDescent="0.35">
      <c r="D21" s="39"/>
      <c r="E21" s="40"/>
      <c r="F21" s="40"/>
      <c r="G21" s="40"/>
      <c r="H21" s="41"/>
      <c r="I21" s="12"/>
      <c r="J21" s="2" t="s">
        <v>33</v>
      </c>
      <c r="K21" s="19" t="s">
        <v>70</v>
      </c>
      <c r="L21" s="16">
        <v>0</v>
      </c>
      <c r="M21" s="59">
        <f>100*26400</f>
        <v>2640000</v>
      </c>
      <c r="O21" s="1"/>
    </row>
    <row r="22" spans="4:15" ht="34.799999999999997" customHeight="1" thickBot="1" x14ac:dyDescent="0.45">
      <c r="D22" s="42"/>
      <c r="E22" s="43"/>
      <c r="F22" s="43"/>
      <c r="G22" s="43"/>
      <c r="H22" s="44"/>
      <c r="I22" s="12"/>
      <c r="J22" s="46" t="s">
        <v>44</v>
      </c>
      <c r="K22" s="21" t="s">
        <v>34</v>
      </c>
      <c r="L22" s="22">
        <v>0</v>
      </c>
      <c r="M22" s="57">
        <f>7.41*110000</f>
        <v>815100</v>
      </c>
    </row>
    <row r="23" spans="4:15" ht="16.5" customHeight="1" thickTop="1" thickBot="1" x14ac:dyDescent="0.35">
      <c r="K23" s="23" t="s">
        <v>35</v>
      </c>
      <c r="L23" s="24">
        <f t="shared" ref="L23:M23" si="4">SUM(L7:L22)</f>
        <v>3450040000</v>
      </c>
      <c r="M23" s="25">
        <f t="shared" si="4"/>
        <v>999258798.63013697</v>
      </c>
    </row>
    <row r="24" spans="4:15" ht="16.5" customHeight="1" thickTop="1" x14ac:dyDescent="0.3"/>
    <row r="25" spans="4:15" ht="16.5" customHeight="1" x14ac:dyDescent="0.3"/>
    <row r="26" spans="4:15" ht="16.5" customHeight="1" x14ac:dyDescent="0.3"/>
    <row r="27" spans="4:15" ht="16.5" customHeight="1" x14ac:dyDescent="0.3"/>
    <row r="28" spans="4:15" ht="16.5" customHeight="1" x14ac:dyDescent="0.3"/>
    <row r="29" spans="4:15" ht="16.5" customHeight="1" x14ac:dyDescent="0.3"/>
    <row r="30" spans="4:15" ht="16.5" customHeight="1" x14ac:dyDescent="0.3"/>
    <row r="31" spans="4:15" ht="16.5" customHeight="1" x14ac:dyDescent="0.3"/>
    <row r="32" spans="4:15" ht="16.5" customHeight="1" x14ac:dyDescent="0.3"/>
    <row r="33" spans="1:3" ht="16.5" customHeight="1" x14ac:dyDescent="0.3"/>
    <row r="34" spans="1:3" ht="16.5" customHeight="1" x14ac:dyDescent="0.3"/>
    <row r="35" spans="1:3" ht="16.5" customHeight="1" x14ac:dyDescent="0.3"/>
    <row r="36" spans="1:3" ht="16.5" customHeight="1" x14ac:dyDescent="0.3"/>
    <row r="37" spans="1:3" ht="16.5" customHeight="1" x14ac:dyDescent="0.3">
      <c r="A37" s="3"/>
      <c r="B37" s="3"/>
      <c r="C37" s="3"/>
    </row>
    <row r="38" spans="1:3" ht="16.5" customHeight="1" x14ac:dyDescent="0.3"/>
    <row r="39" spans="1:3" ht="16.5" customHeight="1" x14ac:dyDescent="0.3"/>
    <row r="40" spans="1:3" ht="16.5" customHeight="1" x14ac:dyDescent="0.3"/>
    <row r="41" spans="1:3" ht="16.5" customHeight="1" x14ac:dyDescent="0.3"/>
    <row r="42" spans="1:3" ht="16.5" customHeight="1" x14ac:dyDescent="0.3"/>
    <row r="43" spans="1:3" ht="16.5" customHeight="1" x14ac:dyDescent="0.3"/>
    <row r="44" spans="1:3" ht="16.5" customHeight="1" x14ac:dyDescent="0.3"/>
    <row r="45" spans="1:3" ht="16.5" customHeight="1" x14ac:dyDescent="0.3"/>
    <row r="46" spans="1:3" ht="16.5" customHeight="1" x14ac:dyDescent="0.3"/>
    <row r="47" spans="1:3" ht="16.5" customHeight="1" x14ac:dyDescent="0.3"/>
    <row r="48" spans="1:3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</sheetData>
  <mergeCells count="7">
    <mergeCell ref="D18:H22"/>
    <mergeCell ref="P1:Q1"/>
    <mergeCell ref="L2:L3"/>
    <mergeCell ref="N3:N4"/>
    <mergeCell ref="D6:H6"/>
    <mergeCell ref="D7:H12"/>
    <mergeCell ref="D13:H17"/>
  </mergeCells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CF67-CFA8-4BE2-9A7C-11B490CD3A1A}">
  <sheetPr>
    <tabColor theme="0"/>
  </sheetPr>
  <dimension ref="A1:R936"/>
  <sheetViews>
    <sheetView topLeftCell="J1" zoomScale="70" zoomScaleNormal="70" workbookViewId="0">
      <selection activeCell="O30" sqref="O30"/>
    </sheetView>
  </sheetViews>
  <sheetFormatPr defaultColWidth="14.44140625" defaultRowHeight="15" customHeight="1" x14ac:dyDescent="0.3"/>
  <cols>
    <col min="1" max="2" width="2.88671875" customWidth="1"/>
    <col min="3" max="8" width="3.109375" customWidth="1"/>
    <col min="9" max="9" width="3.44140625" customWidth="1"/>
    <col min="10" max="10" width="61.33203125" customWidth="1"/>
    <col min="11" max="11" width="21.44140625" customWidth="1"/>
    <col min="12" max="12" width="23.44140625" customWidth="1"/>
    <col min="13" max="13" width="24.5546875" customWidth="1"/>
    <col min="14" max="15" width="8.6640625" customWidth="1"/>
    <col min="16" max="16" width="10.88671875" customWidth="1"/>
    <col min="17" max="17" width="11.44140625" customWidth="1"/>
  </cols>
  <sheetData>
    <row r="1" spans="4:18" ht="16.5" customHeight="1" x14ac:dyDescent="0.3">
      <c r="L1" s="29"/>
      <c r="N1" s="49"/>
      <c r="O1" s="49"/>
      <c r="P1" s="50" t="s">
        <v>49</v>
      </c>
      <c r="Q1" s="48"/>
      <c r="R1" s="49"/>
    </row>
    <row r="2" spans="4:18" ht="16.5" customHeight="1" x14ac:dyDescent="0.3">
      <c r="I2" s="4"/>
      <c r="J2" s="1" t="s">
        <v>0</v>
      </c>
      <c r="L2" s="47" t="s">
        <v>71</v>
      </c>
      <c r="N2" s="49"/>
      <c r="O2" s="49"/>
      <c r="P2" s="53" t="s">
        <v>47</v>
      </c>
      <c r="Q2" s="52" t="s">
        <v>48</v>
      </c>
      <c r="R2" s="49"/>
    </row>
    <row r="3" spans="4:18" ht="16.5" customHeight="1" x14ac:dyDescent="0.3">
      <c r="I3" s="5"/>
      <c r="J3" s="1" t="s">
        <v>1</v>
      </c>
      <c r="L3" s="48"/>
      <c r="N3" s="50" t="s">
        <v>46</v>
      </c>
      <c r="O3" s="53" t="s">
        <v>47</v>
      </c>
      <c r="P3" s="51" t="s">
        <v>67</v>
      </c>
      <c r="Q3" s="51" t="s">
        <v>57</v>
      </c>
      <c r="R3" s="49"/>
    </row>
    <row r="4" spans="4:18" ht="16.5" customHeight="1" thickBot="1" x14ac:dyDescent="0.35">
      <c r="I4" s="6"/>
      <c r="J4" s="1" t="s">
        <v>2</v>
      </c>
      <c r="N4" s="48"/>
      <c r="O4" s="52" t="s">
        <v>48</v>
      </c>
      <c r="P4" s="51" t="s">
        <v>66</v>
      </c>
      <c r="Q4" s="51" t="s">
        <v>50</v>
      </c>
      <c r="R4" s="49"/>
    </row>
    <row r="5" spans="4:18" ht="16.5" customHeight="1" thickBot="1" x14ac:dyDescent="0.35">
      <c r="N5" s="49"/>
      <c r="O5" s="49"/>
      <c r="P5" s="54" t="s">
        <v>51</v>
      </c>
      <c r="Q5" s="49"/>
      <c r="R5" s="49"/>
    </row>
    <row r="6" spans="4:18" ht="16.5" customHeight="1" x14ac:dyDescent="0.3">
      <c r="D6" s="35" t="s">
        <v>3</v>
      </c>
      <c r="E6" s="34"/>
      <c r="F6" s="34"/>
      <c r="G6" s="34"/>
      <c r="H6" s="33"/>
      <c r="I6" s="7" t="s">
        <v>4</v>
      </c>
      <c r="J6" s="7" t="s">
        <v>5</v>
      </c>
      <c r="K6" s="7" t="s">
        <v>6</v>
      </c>
      <c r="L6" s="7" t="s">
        <v>7</v>
      </c>
      <c r="M6" s="7" t="s">
        <v>8</v>
      </c>
      <c r="N6" s="49"/>
      <c r="O6" s="49"/>
      <c r="P6" s="49"/>
      <c r="Q6" s="49"/>
      <c r="R6" s="49"/>
    </row>
    <row r="7" spans="4:18" ht="16.5" customHeight="1" x14ac:dyDescent="0.3">
      <c r="D7" s="36" t="s">
        <v>9</v>
      </c>
      <c r="E7" s="37"/>
      <c r="F7" s="37"/>
      <c r="G7" s="37"/>
      <c r="H7" s="38"/>
      <c r="I7" s="8"/>
      <c r="J7" s="2" t="s">
        <v>10</v>
      </c>
      <c r="K7" s="9" t="s">
        <v>11</v>
      </c>
      <c r="L7" s="9">
        <f>1000*500000*4</f>
        <v>2000000000</v>
      </c>
      <c r="M7" s="9">
        <f>250*500000*4</f>
        <v>500000000</v>
      </c>
      <c r="N7" s="49"/>
      <c r="O7" s="51" t="s">
        <v>52</v>
      </c>
      <c r="P7" s="49">
        <f>0.1111</f>
        <v>0.1111</v>
      </c>
      <c r="Q7" s="51" t="s">
        <v>58</v>
      </c>
      <c r="R7" s="49"/>
    </row>
    <row r="8" spans="4:18" ht="16.5" customHeight="1" x14ac:dyDescent="0.3">
      <c r="D8" s="39"/>
      <c r="E8" s="40"/>
      <c r="F8" s="40"/>
      <c r="G8" s="40"/>
      <c r="H8" s="41"/>
      <c r="I8" s="8"/>
      <c r="J8" s="2" t="s">
        <v>12</v>
      </c>
      <c r="K8" s="10" t="s">
        <v>13</v>
      </c>
      <c r="L8" s="9">
        <f t="shared" ref="L8:L9" si="0">50000*1000*4</f>
        <v>200000000</v>
      </c>
      <c r="M8" s="9">
        <f t="shared" ref="M8:M9" si="1">50000*250*4</f>
        <v>50000000</v>
      </c>
      <c r="N8" s="49"/>
      <c r="O8" s="51" t="s">
        <v>53</v>
      </c>
      <c r="P8" s="49">
        <f>0.0769</f>
        <v>7.6899999999999996E-2</v>
      </c>
      <c r="Q8" s="51" t="s">
        <v>56</v>
      </c>
      <c r="R8" s="49"/>
    </row>
    <row r="9" spans="4:18" ht="16.5" customHeight="1" x14ac:dyDescent="0.3">
      <c r="D9" s="39"/>
      <c r="E9" s="40"/>
      <c r="F9" s="40"/>
      <c r="G9" s="40"/>
      <c r="H9" s="41"/>
      <c r="I9" s="8"/>
      <c r="J9" s="2" t="s">
        <v>14</v>
      </c>
      <c r="K9" s="11" t="s">
        <v>13</v>
      </c>
      <c r="L9" s="9">
        <f t="shared" si="0"/>
        <v>200000000</v>
      </c>
      <c r="M9" s="9">
        <f t="shared" si="1"/>
        <v>50000000</v>
      </c>
      <c r="N9" s="49"/>
      <c r="O9" s="49"/>
      <c r="P9" s="49"/>
      <c r="Q9" s="49"/>
      <c r="R9" s="49"/>
    </row>
    <row r="10" spans="4:18" ht="16.5" customHeight="1" x14ac:dyDescent="0.3">
      <c r="D10" s="39"/>
      <c r="E10" s="40"/>
      <c r="F10" s="40"/>
      <c r="G10" s="40"/>
      <c r="H10" s="41"/>
      <c r="I10" s="8"/>
      <c r="J10" s="1" t="s">
        <v>15</v>
      </c>
      <c r="K10" s="11" t="s">
        <v>16</v>
      </c>
      <c r="L10" s="9">
        <f>125000*1000*4</f>
        <v>500000000</v>
      </c>
      <c r="M10" s="9">
        <f>125000*250*4</f>
        <v>125000000</v>
      </c>
      <c r="N10" s="49"/>
      <c r="O10" s="49"/>
      <c r="P10" s="49"/>
      <c r="Q10" s="49"/>
      <c r="R10" s="49"/>
    </row>
    <row r="11" spans="4:18" ht="16.5" customHeight="1" x14ac:dyDescent="0.3">
      <c r="D11" s="39"/>
      <c r="E11" s="40"/>
      <c r="F11" s="40"/>
      <c r="G11" s="40"/>
      <c r="H11" s="41"/>
      <c r="I11" s="12"/>
      <c r="J11" s="2" t="s">
        <v>17</v>
      </c>
      <c r="K11" s="11" t="s">
        <v>18</v>
      </c>
      <c r="L11" s="13">
        <v>0</v>
      </c>
      <c r="M11" s="9">
        <f>(500000/5)*30*(52*5/365)/12*775</f>
        <v>138013698.630137</v>
      </c>
      <c r="O11">
        <f>88.89*0.0769/(1-0.0769)</f>
        <v>7.4050926226844327</v>
      </c>
    </row>
    <row r="12" spans="4:18" ht="16.5" customHeight="1" x14ac:dyDescent="0.3">
      <c r="D12" s="42"/>
      <c r="E12" s="43"/>
      <c r="F12" s="43"/>
      <c r="G12" s="43"/>
      <c r="H12" s="44"/>
      <c r="I12" s="12"/>
      <c r="J12" s="2" t="s">
        <v>19</v>
      </c>
      <c r="K12" s="11" t="s">
        <v>20</v>
      </c>
      <c r="L12" s="13">
        <v>0</v>
      </c>
      <c r="M12" s="9">
        <f>10%*250*35000*4</f>
        <v>3500000</v>
      </c>
    </row>
    <row r="13" spans="4:18" ht="16.5" customHeight="1" x14ac:dyDescent="0.3">
      <c r="D13" s="36" t="s">
        <v>21</v>
      </c>
      <c r="E13" s="37"/>
      <c r="F13" s="37"/>
      <c r="G13" s="37"/>
      <c r="H13" s="38"/>
      <c r="I13" s="8"/>
      <c r="J13" s="2" t="s">
        <v>22</v>
      </c>
      <c r="K13" s="9" t="s">
        <v>23</v>
      </c>
      <c r="L13" s="9">
        <f>1000*10%*250000*4</f>
        <v>100000000</v>
      </c>
      <c r="M13" s="14">
        <f>250*10%*250000*4</f>
        <v>25000000</v>
      </c>
    </row>
    <row r="14" spans="4:18" ht="16.5" customHeight="1" x14ac:dyDescent="0.3">
      <c r="D14" s="39"/>
      <c r="E14" s="40"/>
      <c r="F14" s="40"/>
      <c r="G14" s="40"/>
      <c r="H14" s="41"/>
      <c r="I14" s="8"/>
      <c r="J14" s="2" t="s">
        <v>24</v>
      </c>
      <c r="K14" s="9" t="s">
        <v>25</v>
      </c>
      <c r="L14" s="9">
        <f>60000*1000*4</f>
        <v>240000000</v>
      </c>
      <c r="M14" s="14">
        <f>250*60000</f>
        <v>15000000</v>
      </c>
    </row>
    <row r="15" spans="4:18" ht="16.5" customHeight="1" x14ac:dyDescent="0.3">
      <c r="D15" s="39"/>
      <c r="E15" s="40"/>
      <c r="F15" s="40"/>
      <c r="G15" s="40"/>
      <c r="H15" s="41"/>
      <c r="I15" s="8"/>
      <c r="J15" s="15" t="s">
        <v>26</v>
      </c>
      <c r="K15" s="11" t="s">
        <v>27</v>
      </c>
      <c r="L15" s="9">
        <f>50000*1000*4</f>
        <v>200000000</v>
      </c>
      <c r="M15" s="14">
        <f>250*50000</f>
        <v>12500000</v>
      </c>
    </row>
    <row r="16" spans="4:18" ht="16.5" customHeight="1" x14ac:dyDescent="0.4">
      <c r="D16" s="39"/>
      <c r="E16" s="40"/>
      <c r="F16" s="40"/>
      <c r="G16" s="40"/>
      <c r="H16" s="41"/>
      <c r="I16" s="8"/>
      <c r="J16" s="45" t="s">
        <v>43</v>
      </c>
      <c r="K16" s="58" t="s">
        <v>59</v>
      </c>
      <c r="L16" s="16">
        <v>0</v>
      </c>
      <c r="M16" s="56">
        <f>100*0.1111* 5000000</f>
        <v>55550000.000000007</v>
      </c>
    </row>
    <row r="17" spans="4:15" ht="16.5" customHeight="1" x14ac:dyDescent="0.4">
      <c r="D17" s="42"/>
      <c r="E17" s="43"/>
      <c r="F17" s="43"/>
      <c r="G17" s="43"/>
      <c r="H17" s="44"/>
      <c r="I17" s="12"/>
      <c r="J17" s="2" t="s">
        <v>28</v>
      </c>
      <c r="K17" s="14" t="s">
        <v>62</v>
      </c>
      <c r="L17" s="16">
        <v>0</v>
      </c>
      <c r="M17" s="17">
        <f>50000*4</f>
        <v>200000</v>
      </c>
    </row>
    <row r="18" spans="4:15" ht="16.5" customHeight="1" x14ac:dyDescent="0.3">
      <c r="D18" s="36" t="s">
        <v>29</v>
      </c>
      <c r="E18" s="37"/>
      <c r="F18" s="37"/>
      <c r="G18" s="37"/>
      <c r="H18" s="38"/>
      <c r="I18" s="18"/>
      <c r="J18" s="2" t="s">
        <v>30</v>
      </c>
      <c r="K18" s="11" t="s">
        <v>31</v>
      </c>
      <c r="L18" s="16">
        <f t="shared" ref="L18:M18" si="2">100*100000</f>
        <v>10000000</v>
      </c>
      <c r="M18" s="16">
        <f t="shared" si="2"/>
        <v>10000000</v>
      </c>
    </row>
    <row r="19" spans="4:15" ht="16.5" customHeight="1" x14ac:dyDescent="0.4">
      <c r="D19" s="39"/>
      <c r="E19" s="40"/>
      <c r="F19" s="40"/>
      <c r="G19" s="40"/>
      <c r="H19" s="41"/>
      <c r="I19" s="18"/>
      <c r="J19" s="1" t="s">
        <v>32</v>
      </c>
      <c r="K19" s="11" t="s">
        <v>63</v>
      </c>
      <c r="L19" s="16">
        <f t="shared" ref="L19:M19" si="3">4*10000</f>
        <v>40000</v>
      </c>
      <c r="M19" s="16">
        <f t="shared" si="3"/>
        <v>40000</v>
      </c>
      <c r="N19" s="1"/>
    </row>
    <row r="20" spans="4:15" ht="16.5" customHeight="1" x14ac:dyDescent="0.4">
      <c r="D20" s="39"/>
      <c r="E20" s="40"/>
      <c r="F20" s="40"/>
      <c r="G20" s="40"/>
      <c r="H20" s="41"/>
      <c r="I20" s="12"/>
      <c r="J20" s="46" t="s">
        <v>61</v>
      </c>
      <c r="K20" s="19" t="s">
        <v>72</v>
      </c>
      <c r="L20" s="16">
        <v>0</v>
      </c>
      <c r="M20" s="20">
        <f>5000*32400/12</f>
        <v>13500000</v>
      </c>
    </row>
    <row r="21" spans="4:15" ht="16.5" customHeight="1" x14ac:dyDescent="0.35">
      <c r="D21" s="39"/>
      <c r="E21" s="40"/>
      <c r="F21" s="40"/>
      <c r="G21" s="40"/>
      <c r="H21" s="41"/>
      <c r="I21" s="12"/>
      <c r="J21" s="2" t="s">
        <v>33</v>
      </c>
      <c r="K21" s="19" t="s">
        <v>73</v>
      </c>
      <c r="L21" s="16">
        <v>0</v>
      </c>
      <c r="M21" s="59">
        <f>100*32400</f>
        <v>3240000</v>
      </c>
      <c r="O21" s="1"/>
    </row>
    <row r="22" spans="4:15" ht="34.799999999999997" customHeight="1" thickBot="1" x14ac:dyDescent="0.45">
      <c r="D22" s="42"/>
      <c r="E22" s="43"/>
      <c r="F22" s="43"/>
      <c r="G22" s="43"/>
      <c r="H22" s="44"/>
      <c r="I22" s="12"/>
      <c r="J22" s="46" t="s">
        <v>44</v>
      </c>
      <c r="K22" s="21" t="s">
        <v>34</v>
      </c>
      <c r="L22" s="22">
        <v>0</v>
      </c>
      <c r="M22" s="57">
        <f>7.41*110000</f>
        <v>815100</v>
      </c>
    </row>
    <row r="23" spans="4:15" ht="16.5" customHeight="1" thickTop="1" thickBot="1" x14ac:dyDescent="0.35">
      <c r="K23" s="23" t="s">
        <v>35</v>
      </c>
      <c r="L23" s="24">
        <f t="shared" ref="L23:M23" si="4">SUM(L7:L22)</f>
        <v>3450040000</v>
      </c>
      <c r="M23" s="25">
        <f t="shared" si="4"/>
        <v>1002358798.630137</v>
      </c>
    </row>
    <row r="24" spans="4:15" ht="16.5" customHeight="1" thickTop="1" x14ac:dyDescent="0.3"/>
    <row r="25" spans="4:15" ht="16.5" customHeight="1" x14ac:dyDescent="0.3"/>
    <row r="26" spans="4:15" ht="16.5" customHeight="1" x14ac:dyDescent="0.3"/>
    <row r="27" spans="4:15" ht="16.5" customHeight="1" x14ac:dyDescent="0.3"/>
    <row r="28" spans="4:15" ht="16.5" customHeight="1" x14ac:dyDescent="0.3"/>
    <row r="29" spans="4:15" ht="16.5" customHeight="1" x14ac:dyDescent="0.3"/>
    <row r="30" spans="4:15" ht="16.5" customHeight="1" x14ac:dyDescent="0.3"/>
    <row r="31" spans="4:15" ht="16.5" customHeight="1" x14ac:dyDescent="0.3"/>
    <row r="32" spans="4:15" ht="16.5" customHeight="1" x14ac:dyDescent="0.3"/>
    <row r="33" spans="1:3" ht="16.5" customHeight="1" x14ac:dyDescent="0.3"/>
    <row r="34" spans="1:3" ht="16.5" customHeight="1" x14ac:dyDescent="0.3"/>
    <row r="35" spans="1:3" ht="16.5" customHeight="1" x14ac:dyDescent="0.3"/>
    <row r="36" spans="1:3" ht="16.5" customHeight="1" x14ac:dyDescent="0.3"/>
    <row r="37" spans="1:3" ht="16.5" customHeight="1" x14ac:dyDescent="0.3">
      <c r="A37" s="3"/>
      <c r="B37" s="3"/>
      <c r="C37" s="3"/>
    </row>
    <row r="38" spans="1:3" ht="16.5" customHeight="1" x14ac:dyDescent="0.3"/>
    <row r="39" spans="1:3" ht="16.5" customHeight="1" x14ac:dyDescent="0.3"/>
    <row r="40" spans="1:3" ht="16.5" customHeight="1" x14ac:dyDescent="0.3"/>
    <row r="41" spans="1:3" ht="16.5" customHeight="1" x14ac:dyDescent="0.3"/>
    <row r="42" spans="1:3" ht="16.5" customHeight="1" x14ac:dyDescent="0.3"/>
    <row r="43" spans="1:3" ht="16.5" customHeight="1" x14ac:dyDescent="0.3"/>
    <row r="44" spans="1:3" ht="16.5" customHeight="1" x14ac:dyDescent="0.3"/>
    <row r="45" spans="1:3" ht="16.5" customHeight="1" x14ac:dyDescent="0.3"/>
    <row r="46" spans="1:3" ht="16.5" customHeight="1" x14ac:dyDescent="0.3"/>
    <row r="47" spans="1:3" ht="16.5" customHeight="1" x14ac:dyDescent="0.3"/>
    <row r="48" spans="1:3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</sheetData>
  <mergeCells count="7">
    <mergeCell ref="D18:H22"/>
    <mergeCell ref="P1:Q1"/>
    <mergeCell ref="L2:L3"/>
    <mergeCell ref="N3:N4"/>
    <mergeCell ref="D6:H6"/>
    <mergeCell ref="D7:H12"/>
    <mergeCell ref="D13:H17"/>
  </mergeCells>
  <phoneticPr fontId="8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A204-AD7C-4CDC-A80E-C5B02551FF5F}">
  <sheetPr>
    <tabColor theme="0"/>
  </sheetPr>
  <dimension ref="A1:R936"/>
  <sheetViews>
    <sheetView tabSelected="1" zoomScale="70" zoomScaleNormal="70" workbookViewId="0">
      <selection activeCell="M29" sqref="M29"/>
    </sheetView>
  </sheetViews>
  <sheetFormatPr defaultColWidth="14.44140625" defaultRowHeight="15" customHeight="1" x14ac:dyDescent="0.3"/>
  <cols>
    <col min="1" max="2" width="2.88671875" customWidth="1"/>
    <col min="3" max="8" width="3.109375" customWidth="1"/>
    <col min="9" max="9" width="3.44140625" customWidth="1"/>
    <col min="10" max="10" width="61.33203125" customWidth="1"/>
    <col min="11" max="11" width="21.44140625" customWidth="1"/>
    <col min="12" max="12" width="23.44140625" customWidth="1"/>
    <col min="13" max="13" width="24.5546875" customWidth="1"/>
    <col min="14" max="15" width="8.6640625" customWidth="1"/>
    <col min="16" max="16" width="10.88671875" customWidth="1"/>
    <col min="17" max="17" width="11.44140625" customWidth="1"/>
  </cols>
  <sheetData>
    <row r="1" spans="4:18" ht="16.5" customHeight="1" x14ac:dyDescent="0.3">
      <c r="L1" s="29"/>
      <c r="N1" s="49"/>
      <c r="O1" s="49"/>
      <c r="P1" s="50" t="s">
        <v>49</v>
      </c>
      <c r="Q1" s="48"/>
      <c r="R1" s="49"/>
    </row>
    <row r="2" spans="4:18" ht="16.5" customHeight="1" x14ac:dyDescent="0.3">
      <c r="I2" s="4"/>
      <c r="J2" s="1" t="s">
        <v>0</v>
      </c>
      <c r="L2" s="47" t="s">
        <v>74</v>
      </c>
      <c r="N2" s="49"/>
      <c r="O2" s="49"/>
      <c r="P2" s="53" t="s">
        <v>47</v>
      </c>
      <c r="Q2" s="52" t="s">
        <v>48</v>
      </c>
      <c r="R2" s="49"/>
    </row>
    <row r="3" spans="4:18" ht="16.5" customHeight="1" x14ac:dyDescent="0.3">
      <c r="I3" s="5"/>
      <c r="J3" s="1" t="s">
        <v>1</v>
      </c>
      <c r="L3" s="48"/>
      <c r="N3" s="50" t="s">
        <v>46</v>
      </c>
      <c r="O3" s="53" t="s">
        <v>47</v>
      </c>
      <c r="P3" s="51" t="s">
        <v>67</v>
      </c>
      <c r="Q3" s="51" t="s">
        <v>75</v>
      </c>
      <c r="R3" s="49"/>
    </row>
    <row r="4" spans="4:18" ht="16.5" customHeight="1" thickBot="1" x14ac:dyDescent="0.35">
      <c r="I4" s="6"/>
      <c r="J4" s="1" t="s">
        <v>2</v>
      </c>
      <c r="N4" s="48"/>
      <c r="O4" s="52" t="s">
        <v>48</v>
      </c>
      <c r="P4" s="51" t="s">
        <v>66</v>
      </c>
      <c r="Q4" s="51" t="s">
        <v>50</v>
      </c>
      <c r="R4" s="49"/>
    </row>
    <row r="5" spans="4:18" ht="16.5" customHeight="1" thickBot="1" x14ac:dyDescent="0.35">
      <c r="N5" s="49"/>
      <c r="O5" s="49"/>
      <c r="P5" s="54" t="s">
        <v>51</v>
      </c>
      <c r="Q5" s="49"/>
      <c r="R5" s="49"/>
    </row>
    <row r="6" spans="4:18" ht="16.5" customHeight="1" x14ac:dyDescent="0.3">
      <c r="D6" s="35" t="s">
        <v>3</v>
      </c>
      <c r="E6" s="34"/>
      <c r="F6" s="34"/>
      <c r="G6" s="34"/>
      <c r="H6" s="33"/>
      <c r="I6" s="7" t="s">
        <v>4</v>
      </c>
      <c r="J6" s="7" t="s">
        <v>5</v>
      </c>
      <c r="K6" s="7" t="s">
        <v>6</v>
      </c>
      <c r="L6" s="7" t="s">
        <v>7</v>
      </c>
      <c r="M6" s="7" t="s">
        <v>8</v>
      </c>
      <c r="N6" s="49"/>
      <c r="O6" s="49"/>
      <c r="P6" s="49"/>
      <c r="Q6" s="49"/>
      <c r="R6" s="49"/>
    </row>
    <row r="7" spans="4:18" ht="16.5" customHeight="1" x14ac:dyDescent="0.3">
      <c r="D7" s="36" t="s">
        <v>9</v>
      </c>
      <c r="E7" s="37"/>
      <c r="F7" s="37"/>
      <c r="G7" s="37"/>
      <c r="H7" s="38"/>
      <c r="I7" s="8"/>
      <c r="J7" s="2" t="s">
        <v>10</v>
      </c>
      <c r="K7" s="9" t="s">
        <v>11</v>
      </c>
      <c r="L7" s="9">
        <f>1000*500000*4</f>
        <v>2000000000</v>
      </c>
      <c r="M7" s="9">
        <f>250*500000*4</f>
        <v>500000000</v>
      </c>
      <c r="N7" s="49"/>
      <c r="O7" s="51" t="s">
        <v>52</v>
      </c>
      <c r="P7" s="49">
        <f>0.1111</f>
        <v>0.1111</v>
      </c>
      <c r="Q7" s="51" t="s">
        <v>58</v>
      </c>
      <c r="R7" s="49"/>
    </row>
    <row r="8" spans="4:18" ht="16.5" customHeight="1" x14ac:dyDescent="0.3">
      <c r="D8" s="39"/>
      <c r="E8" s="40"/>
      <c r="F8" s="40"/>
      <c r="G8" s="40"/>
      <c r="H8" s="41"/>
      <c r="I8" s="8"/>
      <c r="J8" s="2" t="s">
        <v>12</v>
      </c>
      <c r="K8" s="10" t="s">
        <v>13</v>
      </c>
      <c r="L8" s="9">
        <f t="shared" ref="L8:L9" si="0">50000*1000*4</f>
        <v>200000000</v>
      </c>
      <c r="M8" s="9">
        <f t="shared" ref="M8:M9" si="1">50000*250*4</f>
        <v>50000000</v>
      </c>
      <c r="N8" s="49"/>
      <c r="O8" s="51" t="s">
        <v>53</v>
      </c>
      <c r="P8" s="49">
        <f>0.04</f>
        <v>0.04</v>
      </c>
      <c r="Q8" s="51" t="s">
        <v>56</v>
      </c>
      <c r="R8" s="49"/>
    </row>
    <row r="9" spans="4:18" ht="16.5" customHeight="1" x14ac:dyDescent="0.3">
      <c r="D9" s="39"/>
      <c r="E9" s="40"/>
      <c r="F9" s="40"/>
      <c r="G9" s="40"/>
      <c r="H9" s="41"/>
      <c r="I9" s="8"/>
      <c r="J9" s="2" t="s">
        <v>14</v>
      </c>
      <c r="K9" s="11" t="s">
        <v>13</v>
      </c>
      <c r="L9" s="9">
        <f t="shared" si="0"/>
        <v>200000000</v>
      </c>
      <c r="M9" s="9">
        <f t="shared" si="1"/>
        <v>50000000</v>
      </c>
      <c r="N9" s="49"/>
      <c r="O9" s="49"/>
      <c r="P9" s="49"/>
      <c r="Q9" s="49"/>
      <c r="R9" s="49"/>
    </row>
    <row r="10" spans="4:18" ht="16.5" customHeight="1" x14ac:dyDescent="0.3">
      <c r="D10" s="39"/>
      <c r="E10" s="40"/>
      <c r="F10" s="40"/>
      <c r="G10" s="40"/>
      <c r="H10" s="41"/>
      <c r="I10" s="8"/>
      <c r="J10" s="1" t="s">
        <v>15</v>
      </c>
      <c r="K10" s="11" t="s">
        <v>16</v>
      </c>
      <c r="L10" s="9">
        <f>125000*1000*4</f>
        <v>500000000</v>
      </c>
      <c r="M10" s="9">
        <f>125000*250*4</f>
        <v>125000000</v>
      </c>
      <c r="N10" s="49"/>
      <c r="O10" s="49"/>
      <c r="P10" s="49"/>
      <c r="Q10" s="49"/>
      <c r="R10" s="49"/>
    </row>
    <row r="11" spans="4:18" ht="16.5" customHeight="1" x14ac:dyDescent="0.3">
      <c r="D11" s="39"/>
      <c r="E11" s="40"/>
      <c r="F11" s="40"/>
      <c r="G11" s="40"/>
      <c r="H11" s="41"/>
      <c r="I11" s="12"/>
      <c r="J11" s="2" t="s">
        <v>17</v>
      </c>
      <c r="K11" s="11" t="s">
        <v>18</v>
      </c>
      <c r="L11" s="13">
        <v>0</v>
      </c>
      <c r="M11" s="9">
        <f>(500000/5)*30*(52*5/365)/12*775</f>
        <v>138013698.630137</v>
      </c>
      <c r="O11">
        <f>88.89*0.04/(1-0.04)</f>
        <v>3.7037500000000003</v>
      </c>
    </row>
    <row r="12" spans="4:18" ht="16.5" customHeight="1" x14ac:dyDescent="0.3">
      <c r="D12" s="42"/>
      <c r="E12" s="43"/>
      <c r="F12" s="43"/>
      <c r="G12" s="43"/>
      <c r="H12" s="44"/>
      <c r="I12" s="12"/>
      <c r="J12" s="2" t="s">
        <v>19</v>
      </c>
      <c r="K12" s="11" t="s">
        <v>20</v>
      </c>
      <c r="L12" s="13">
        <v>0</v>
      </c>
      <c r="M12" s="9">
        <f>10%*250*35000*4</f>
        <v>3500000</v>
      </c>
    </row>
    <row r="13" spans="4:18" ht="16.5" customHeight="1" x14ac:dyDescent="0.3">
      <c r="D13" s="36" t="s">
        <v>21</v>
      </c>
      <c r="E13" s="37"/>
      <c r="F13" s="37"/>
      <c r="G13" s="37"/>
      <c r="H13" s="38"/>
      <c r="I13" s="8"/>
      <c r="J13" s="2" t="s">
        <v>22</v>
      </c>
      <c r="K13" s="9" t="s">
        <v>23</v>
      </c>
      <c r="L13" s="9">
        <f>1000*10%*250000*4</f>
        <v>100000000</v>
      </c>
      <c r="M13" s="14">
        <f>250*10%*250000*4</f>
        <v>25000000</v>
      </c>
    </row>
    <row r="14" spans="4:18" ht="16.5" customHeight="1" x14ac:dyDescent="0.3">
      <c r="D14" s="39"/>
      <c r="E14" s="40"/>
      <c r="F14" s="40"/>
      <c r="G14" s="40"/>
      <c r="H14" s="41"/>
      <c r="I14" s="8"/>
      <c r="J14" s="2" t="s">
        <v>24</v>
      </c>
      <c r="K14" s="9" t="s">
        <v>25</v>
      </c>
      <c r="L14" s="9">
        <f>60000*1000*4</f>
        <v>240000000</v>
      </c>
      <c r="M14" s="14">
        <f>250*60000</f>
        <v>15000000</v>
      </c>
    </row>
    <row r="15" spans="4:18" ht="16.5" customHeight="1" x14ac:dyDescent="0.3">
      <c r="D15" s="39"/>
      <c r="E15" s="40"/>
      <c r="F15" s="40"/>
      <c r="G15" s="40"/>
      <c r="H15" s="41"/>
      <c r="I15" s="8"/>
      <c r="J15" s="15" t="s">
        <v>26</v>
      </c>
      <c r="K15" s="11" t="s">
        <v>27</v>
      </c>
      <c r="L15" s="9">
        <f>50000*1000*4</f>
        <v>200000000</v>
      </c>
      <c r="M15" s="14">
        <f>250*50000</f>
        <v>12500000</v>
      </c>
    </row>
    <row r="16" spans="4:18" ht="16.5" customHeight="1" x14ac:dyDescent="0.4">
      <c r="D16" s="39"/>
      <c r="E16" s="40"/>
      <c r="F16" s="40"/>
      <c r="G16" s="40"/>
      <c r="H16" s="41"/>
      <c r="I16" s="8"/>
      <c r="J16" s="45" t="s">
        <v>43</v>
      </c>
      <c r="K16" s="58" t="s">
        <v>59</v>
      </c>
      <c r="L16" s="16">
        <v>0</v>
      </c>
      <c r="M16" s="56">
        <f>100*0.1111* 5000000</f>
        <v>55550000.000000007</v>
      </c>
    </row>
    <row r="17" spans="4:15" ht="16.5" customHeight="1" x14ac:dyDescent="0.4">
      <c r="D17" s="42"/>
      <c r="E17" s="43"/>
      <c r="F17" s="43"/>
      <c r="G17" s="43"/>
      <c r="H17" s="44"/>
      <c r="I17" s="12"/>
      <c r="J17" s="2" t="s">
        <v>28</v>
      </c>
      <c r="K17" s="14" t="s">
        <v>62</v>
      </c>
      <c r="L17" s="16">
        <v>0</v>
      </c>
      <c r="M17" s="17">
        <f>50000*4</f>
        <v>200000</v>
      </c>
    </row>
    <row r="18" spans="4:15" ht="16.5" customHeight="1" x14ac:dyDescent="0.3">
      <c r="D18" s="36" t="s">
        <v>29</v>
      </c>
      <c r="E18" s="37"/>
      <c r="F18" s="37"/>
      <c r="G18" s="37"/>
      <c r="H18" s="38"/>
      <c r="I18" s="18"/>
      <c r="J18" s="2" t="s">
        <v>30</v>
      </c>
      <c r="K18" s="11" t="s">
        <v>31</v>
      </c>
      <c r="L18" s="16">
        <f t="shared" ref="L18:M18" si="2">100*100000</f>
        <v>10000000</v>
      </c>
      <c r="M18" s="16">
        <f t="shared" si="2"/>
        <v>10000000</v>
      </c>
    </row>
    <row r="19" spans="4:15" ht="16.5" customHeight="1" x14ac:dyDescent="0.4">
      <c r="D19" s="39"/>
      <c r="E19" s="40"/>
      <c r="F19" s="40"/>
      <c r="G19" s="40"/>
      <c r="H19" s="41"/>
      <c r="I19" s="18"/>
      <c r="J19" s="1" t="s">
        <v>32</v>
      </c>
      <c r="K19" s="11" t="s">
        <v>63</v>
      </c>
      <c r="L19" s="16">
        <f t="shared" ref="L19:M19" si="3">4*10000</f>
        <v>40000</v>
      </c>
      <c r="M19" s="16">
        <f t="shared" si="3"/>
        <v>40000</v>
      </c>
      <c r="N19" s="1"/>
    </row>
    <row r="20" spans="4:15" ht="16.5" customHeight="1" x14ac:dyDescent="0.4">
      <c r="D20" s="39"/>
      <c r="E20" s="40"/>
      <c r="F20" s="40"/>
      <c r="G20" s="40"/>
      <c r="H20" s="41"/>
      <c r="I20" s="12"/>
      <c r="J20" s="46" t="s">
        <v>61</v>
      </c>
      <c r="K20" s="19" t="s">
        <v>76</v>
      </c>
      <c r="L20" s="16">
        <v>0</v>
      </c>
      <c r="M20" s="20">
        <f>5000*53700/12</f>
        <v>22375000</v>
      </c>
    </row>
    <row r="21" spans="4:15" ht="16.5" customHeight="1" x14ac:dyDescent="0.35">
      <c r="D21" s="39"/>
      <c r="E21" s="40"/>
      <c r="F21" s="40"/>
      <c r="G21" s="40"/>
      <c r="H21" s="41"/>
      <c r="I21" s="12"/>
      <c r="J21" s="2" t="s">
        <v>33</v>
      </c>
      <c r="K21" s="19" t="s">
        <v>77</v>
      </c>
      <c r="L21" s="16">
        <v>0</v>
      </c>
      <c r="M21" s="59">
        <f>100*53700</f>
        <v>5370000</v>
      </c>
      <c r="O21" s="1"/>
    </row>
    <row r="22" spans="4:15" ht="34.799999999999997" customHeight="1" thickBot="1" x14ac:dyDescent="0.45">
      <c r="D22" s="42"/>
      <c r="E22" s="43"/>
      <c r="F22" s="43"/>
      <c r="G22" s="43"/>
      <c r="H22" s="44"/>
      <c r="I22" s="12"/>
      <c r="J22" s="46" t="s">
        <v>44</v>
      </c>
      <c r="K22" s="21" t="s">
        <v>34</v>
      </c>
      <c r="L22" s="22">
        <v>0</v>
      </c>
      <c r="M22" s="57">
        <f>3.7*110000</f>
        <v>407000</v>
      </c>
    </row>
    <row r="23" spans="4:15" ht="16.5" customHeight="1" thickTop="1" thickBot="1" x14ac:dyDescent="0.35">
      <c r="K23" s="23" t="s">
        <v>35</v>
      </c>
      <c r="L23" s="24">
        <f t="shared" ref="L23:M23" si="4">SUM(L7:L22)</f>
        <v>3450040000</v>
      </c>
      <c r="M23" s="25">
        <f t="shared" si="4"/>
        <v>1012955698.630137</v>
      </c>
    </row>
    <row r="24" spans="4:15" ht="16.5" customHeight="1" thickTop="1" x14ac:dyDescent="0.3"/>
    <row r="25" spans="4:15" ht="16.5" customHeight="1" x14ac:dyDescent="0.3"/>
    <row r="26" spans="4:15" ht="16.5" customHeight="1" x14ac:dyDescent="0.3"/>
    <row r="27" spans="4:15" ht="16.5" customHeight="1" x14ac:dyDescent="0.3"/>
    <row r="28" spans="4:15" ht="16.5" customHeight="1" x14ac:dyDescent="0.3"/>
    <row r="29" spans="4:15" ht="16.5" customHeight="1" x14ac:dyDescent="0.3"/>
    <row r="30" spans="4:15" ht="16.5" customHeight="1" x14ac:dyDescent="0.3"/>
    <row r="31" spans="4:15" ht="16.5" customHeight="1" x14ac:dyDescent="0.3"/>
    <row r="32" spans="4:15" ht="16.5" customHeight="1" x14ac:dyDescent="0.3"/>
    <row r="33" spans="1:3" ht="16.5" customHeight="1" x14ac:dyDescent="0.3"/>
    <row r="34" spans="1:3" ht="16.5" customHeight="1" x14ac:dyDescent="0.3"/>
    <row r="35" spans="1:3" ht="16.5" customHeight="1" x14ac:dyDescent="0.3"/>
    <row r="36" spans="1:3" ht="16.5" customHeight="1" x14ac:dyDescent="0.3"/>
    <row r="37" spans="1:3" ht="16.5" customHeight="1" x14ac:dyDescent="0.3">
      <c r="A37" s="3"/>
      <c r="B37" s="3"/>
      <c r="C37" s="3"/>
    </row>
    <row r="38" spans="1:3" ht="16.5" customHeight="1" x14ac:dyDescent="0.3"/>
    <row r="39" spans="1:3" ht="16.5" customHeight="1" x14ac:dyDescent="0.3"/>
    <row r="40" spans="1:3" ht="16.5" customHeight="1" x14ac:dyDescent="0.3"/>
    <row r="41" spans="1:3" ht="16.5" customHeight="1" x14ac:dyDescent="0.3"/>
    <row r="42" spans="1:3" ht="16.5" customHeight="1" x14ac:dyDescent="0.3"/>
    <row r="43" spans="1:3" ht="16.5" customHeight="1" x14ac:dyDescent="0.3"/>
    <row r="44" spans="1:3" ht="16.5" customHeight="1" x14ac:dyDescent="0.3"/>
    <row r="45" spans="1:3" ht="16.5" customHeight="1" x14ac:dyDescent="0.3"/>
    <row r="46" spans="1:3" ht="16.5" customHeight="1" x14ac:dyDescent="0.3"/>
    <row r="47" spans="1:3" ht="16.5" customHeight="1" x14ac:dyDescent="0.3"/>
    <row r="48" spans="1:3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</sheetData>
  <mergeCells count="7">
    <mergeCell ref="D18:H22"/>
    <mergeCell ref="P1:Q1"/>
    <mergeCell ref="L2:L3"/>
    <mergeCell ref="N3:N4"/>
    <mergeCell ref="D6:H6"/>
    <mergeCell ref="D7:H12"/>
    <mergeCell ref="D13:H17"/>
  </mergeCells>
  <phoneticPr fontId="8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50F6-BA2B-4FE7-8D0E-29A146843836}">
  <sheetPr>
    <tabColor theme="0"/>
  </sheetPr>
  <dimension ref="A1:R936"/>
  <sheetViews>
    <sheetView zoomScale="70" zoomScaleNormal="70" workbookViewId="0">
      <selection activeCell="M22" sqref="M22"/>
    </sheetView>
  </sheetViews>
  <sheetFormatPr defaultColWidth="14.44140625" defaultRowHeight="15" customHeight="1" x14ac:dyDescent="0.3"/>
  <cols>
    <col min="1" max="2" width="2.88671875" customWidth="1"/>
    <col min="3" max="8" width="3.109375" customWidth="1"/>
    <col min="9" max="9" width="3.44140625" customWidth="1"/>
    <col min="10" max="10" width="61.33203125" customWidth="1"/>
    <col min="11" max="11" width="21.44140625" customWidth="1"/>
    <col min="12" max="12" width="23.44140625" customWidth="1"/>
    <col min="13" max="13" width="24.5546875" customWidth="1"/>
    <col min="14" max="15" width="8.6640625" customWidth="1"/>
    <col min="16" max="16" width="10.88671875" customWidth="1"/>
    <col min="17" max="17" width="11.44140625" customWidth="1"/>
  </cols>
  <sheetData>
    <row r="1" spans="4:18" ht="16.5" customHeight="1" x14ac:dyDescent="0.3">
      <c r="L1" s="29"/>
      <c r="N1" s="49"/>
      <c r="O1" s="49"/>
      <c r="P1" s="50" t="s">
        <v>49</v>
      </c>
      <c r="Q1" s="48"/>
      <c r="R1" s="49"/>
    </row>
    <row r="2" spans="4:18" ht="16.5" customHeight="1" x14ac:dyDescent="0.3">
      <c r="I2" s="4"/>
      <c r="J2" s="1" t="s">
        <v>0</v>
      </c>
      <c r="L2" s="47" t="s">
        <v>78</v>
      </c>
      <c r="N2" s="49"/>
      <c r="O2" s="49"/>
      <c r="P2" s="53" t="s">
        <v>47</v>
      </c>
      <c r="Q2" s="52" t="s">
        <v>48</v>
      </c>
      <c r="R2" s="49"/>
    </row>
    <row r="3" spans="4:18" ht="16.5" customHeight="1" x14ac:dyDescent="0.3">
      <c r="I3" s="5"/>
      <c r="J3" s="1" t="s">
        <v>1</v>
      </c>
      <c r="L3" s="48"/>
      <c r="N3" s="50" t="s">
        <v>46</v>
      </c>
      <c r="O3" s="53" t="s">
        <v>47</v>
      </c>
      <c r="P3" s="51" t="s">
        <v>67</v>
      </c>
      <c r="Q3" s="51" t="s">
        <v>75</v>
      </c>
      <c r="R3" s="49"/>
    </row>
    <row r="4" spans="4:18" ht="16.5" customHeight="1" thickBot="1" x14ac:dyDescent="0.35">
      <c r="I4" s="6"/>
      <c r="J4" s="1" t="s">
        <v>2</v>
      </c>
      <c r="N4" s="48"/>
      <c r="O4" s="52" t="s">
        <v>48</v>
      </c>
      <c r="P4" s="51" t="s">
        <v>66</v>
      </c>
      <c r="Q4" s="51" t="s">
        <v>50</v>
      </c>
      <c r="R4" s="49"/>
    </row>
    <row r="5" spans="4:18" ht="16.5" customHeight="1" thickBot="1" x14ac:dyDescent="0.35">
      <c r="N5" s="49"/>
      <c r="O5" s="49"/>
      <c r="P5" s="54" t="s">
        <v>51</v>
      </c>
      <c r="Q5" s="49"/>
      <c r="R5" s="49"/>
    </row>
    <row r="6" spans="4:18" ht="16.5" customHeight="1" x14ac:dyDescent="0.3">
      <c r="D6" s="35" t="s">
        <v>3</v>
      </c>
      <c r="E6" s="34"/>
      <c r="F6" s="34"/>
      <c r="G6" s="34"/>
      <c r="H6" s="33"/>
      <c r="I6" s="7" t="s">
        <v>4</v>
      </c>
      <c r="J6" s="7" t="s">
        <v>5</v>
      </c>
      <c r="K6" s="7" t="s">
        <v>6</v>
      </c>
      <c r="L6" s="7" t="s">
        <v>7</v>
      </c>
      <c r="M6" s="7" t="s">
        <v>8</v>
      </c>
      <c r="N6" s="49"/>
      <c r="O6" s="49"/>
      <c r="P6" s="49"/>
      <c r="Q6" s="49"/>
      <c r="R6" s="49"/>
    </row>
    <row r="7" spans="4:18" ht="16.5" customHeight="1" x14ac:dyDescent="0.3">
      <c r="D7" s="36" t="s">
        <v>9</v>
      </c>
      <c r="E7" s="37"/>
      <c r="F7" s="37"/>
      <c r="G7" s="37"/>
      <c r="H7" s="38"/>
      <c r="I7" s="8"/>
      <c r="J7" s="2" t="s">
        <v>10</v>
      </c>
      <c r="K7" s="9" t="s">
        <v>11</v>
      </c>
      <c r="L7" s="9">
        <f>1000*500000*4</f>
        <v>2000000000</v>
      </c>
      <c r="M7" s="9">
        <f>250*500000*4</f>
        <v>500000000</v>
      </c>
      <c r="N7" s="49"/>
      <c r="O7" s="51" t="s">
        <v>52</v>
      </c>
      <c r="P7" s="49">
        <f>0.1111</f>
        <v>0.1111</v>
      </c>
      <c r="Q7" s="51" t="s">
        <v>58</v>
      </c>
      <c r="R7" s="49"/>
    </row>
    <row r="8" spans="4:18" ht="16.5" customHeight="1" x14ac:dyDescent="0.3">
      <c r="D8" s="39"/>
      <c r="E8" s="40"/>
      <c r="F8" s="40"/>
      <c r="G8" s="40"/>
      <c r="H8" s="41"/>
      <c r="I8" s="8"/>
      <c r="J8" s="2" t="s">
        <v>12</v>
      </c>
      <c r="K8" s="10" t="s">
        <v>13</v>
      </c>
      <c r="L8" s="9">
        <f t="shared" ref="L8:L9" si="0">50000*1000*4</f>
        <v>200000000</v>
      </c>
      <c r="M8" s="9">
        <f t="shared" ref="M8:M9" si="1">50000*250*4</f>
        <v>50000000</v>
      </c>
      <c r="N8" s="49"/>
      <c r="O8" s="51" t="s">
        <v>53</v>
      </c>
      <c r="P8" s="49">
        <f>0.04</f>
        <v>0.04</v>
      </c>
      <c r="Q8" s="51" t="s">
        <v>56</v>
      </c>
      <c r="R8" s="49"/>
    </row>
    <row r="9" spans="4:18" ht="16.5" customHeight="1" x14ac:dyDescent="0.3">
      <c r="D9" s="39"/>
      <c r="E9" s="40"/>
      <c r="F9" s="40"/>
      <c r="G9" s="40"/>
      <c r="H9" s="41"/>
      <c r="I9" s="8"/>
      <c r="J9" s="2" t="s">
        <v>14</v>
      </c>
      <c r="K9" s="11" t="s">
        <v>13</v>
      </c>
      <c r="L9" s="9">
        <f t="shared" si="0"/>
        <v>200000000</v>
      </c>
      <c r="M9" s="9">
        <f t="shared" si="1"/>
        <v>50000000</v>
      </c>
      <c r="N9" s="49"/>
      <c r="O9" s="49"/>
      <c r="P9" s="49"/>
      <c r="Q9" s="49"/>
      <c r="R9" s="49"/>
    </row>
    <row r="10" spans="4:18" ht="16.5" customHeight="1" x14ac:dyDescent="0.3">
      <c r="D10" s="39"/>
      <c r="E10" s="40"/>
      <c r="F10" s="40"/>
      <c r="G10" s="40"/>
      <c r="H10" s="41"/>
      <c r="I10" s="8"/>
      <c r="J10" s="1" t="s">
        <v>15</v>
      </c>
      <c r="K10" s="11" t="s">
        <v>16</v>
      </c>
      <c r="L10" s="9">
        <f>125000*1000*4</f>
        <v>500000000</v>
      </c>
      <c r="M10" s="9">
        <f>125000*250*4</f>
        <v>125000000</v>
      </c>
      <c r="N10" s="49"/>
      <c r="O10" s="49"/>
      <c r="P10" s="49"/>
      <c r="Q10" s="49"/>
      <c r="R10" s="49"/>
    </row>
    <row r="11" spans="4:18" ht="16.5" customHeight="1" x14ac:dyDescent="0.3">
      <c r="D11" s="39"/>
      <c r="E11" s="40"/>
      <c r="F11" s="40"/>
      <c r="G11" s="40"/>
      <c r="H11" s="41"/>
      <c r="I11" s="12"/>
      <c r="J11" s="2" t="s">
        <v>17</v>
      </c>
      <c r="K11" s="11" t="s">
        <v>18</v>
      </c>
      <c r="L11" s="13">
        <v>0</v>
      </c>
      <c r="M11" s="9">
        <f>(500000/5)*30*(52*5/365)/12*775</f>
        <v>138013698.630137</v>
      </c>
      <c r="O11">
        <f>88.89*0.04/(1-0.04)</f>
        <v>3.7037500000000003</v>
      </c>
    </row>
    <row r="12" spans="4:18" ht="16.5" customHeight="1" x14ac:dyDescent="0.3">
      <c r="D12" s="42"/>
      <c r="E12" s="43"/>
      <c r="F12" s="43"/>
      <c r="G12" s="43"/>
      <c r="H12" s="44"/>
      <c r="I12" s="12"/>
      <c r="J12" s="2" t="s">
        <v>19</v>
      </c>
      <c r="K12" s="11" t="s">
        <v>20</v>
      </c>
      <c r="L12" s="13">
        <v>0</v>
      </c>
      <c r="M12" s="9">
        <f>10%*250*35000*4</f>
        <v>3500000</v>
      </c>
    </row>
    <row r="13" spans="4:18" ht="16.5" customHeight="1" x14ac:dyDescent="0.3">
      <c r="D13" s="36" t="s">
        <v>21</v>
      </c>
      <c r="E13" s="37"/>
      <c r="F13" s="37"/>
      <c r="G13" s="37"/>
      <c r="H13" s="38"/>
      <c r="I13" s="8"/>
      <c r="J13" s="2" t="s">
        <v>22</v>
      </c>
      <c r="K13" s="9" t="s">
        <v>23</v>
      </c>
      <c r="L13" s="9">
        <f>1000*10%*250000*4</f>
        <v>100000000</v>
      </c>
      <c r="M13" s="14">
        <f>250*10%*250000*4</f>
        <v>25000000</v>
      </c>
    </row>
    <row r="14" spans="4:18" ht="16.5" customHeight="1" x14ac:dyDescent="0.3">
      <c r="D14" s="39"/>
      <c r="E14" s="40"/>
      <c r="F14" s="40"/>
      <c r="G14" s="40"/>
      <c r="H14" s="41"/>
      <c r="I14" s="8"/>
      <c r="J14" s="2" t="s">
        <v>24</v>
      </c>
      <c r="K14" s="9" t="s">
        <v>25</v>
      </c>
      <c r="L14" s="9">
        <f>60000*1000*4</f>
        <v>240000000</v>
      </c>
      <c r="M14" s="14">
        <f>250*60000</f>
        <v>15000000</v>
      </c>
    </row>
    <row r="15" spans="4:18" ht="16.5" customHeight="1" x14ac:dyDescent="0.3">
      <c r="D15" s="39"/>
      <c r="E15" s="40"/>
      <c r="F15" s="40"/>
      <c r="G15" s="40"/>
      <c r="H15" s="41"/>
      <c r="I15" s="8"/>
      <c r="J15" s="15" t="s">
        <v>26</v>
      </c>
      <c r="K15" s="11" t="s">
        <v>27</v>
      </c>
      <c r="L15" s="9">
        <f>50000*1000*4</f>
        <v>200000000</v>
      </c>
      <c r="M15" s="14">
        <f>250*50000</f>
        <v>12500000</v>
      </c>
    </row>
    <row r="16" spans="4:18" ht="16.5" customHeight="1" x14ac:dyDescent="0.4">
      <c r="D16" s="39"/>
      <c r="E16" s="40"/>
      <c r="F16" s="40"/>
      <c r="G16" s="40"/>
      <c r="H16" s="41"/>
      <c r="I16" s="8"/>
      <c r="J16" s="45" t="s">
        <v>43</v>
      </c>
      <c r="K16" s="58" t="s">
        <v>59</v>
      </c>
      <c r="L16" s="16">
        <v>0</v>
      </c>
      <c r="M16" s="56">
        <f>100*0.1111* 5000000</f>
        <v>55550000.000000007</v>
      </c>
    </row>
    <row r="17" spans="4:15" ht="16.5" customHeight="1" x14ac:dyDescent="0.4">
      <c r="D17" s="42"/>
      <c r="E17" s="43"/>
      <c r="F17" s="43"/>
      <c r="G17" s="43"/>
      <c r="H17" s="44"/>
      <c r="I17" s="12"/>
      <c r="J17" s="2" t="s">
        <v>28</v>
      </c>
      <c r="K17" s="14" t="s">
        <v>62</v>
      </c>
      <c r="L17" s="16">
        <v>0</v>
      </c>
      <c r="M17" s="17">
        <f>50000*4</f>
        <v>200000</v>
      </c>
    </row>
    <row r="18" spans="4:15" ht="16.5" customHeight="1" x14ac:dyDescent="0.3">
      <c r="D18" s="36" t="s">
        <v>29</v>
      </c>
      <c r="E18" s="37"/>
      <c r="F18" s="37"/>
      <c r="G18" s="37"/>
      <c r="H18" s="38"/>
      <c r="I18" s="18"/>
      <c r="J18" s="2" t="s">
        <v>30</v>
      </c>
      <c r="K18" s="11" t="s">
        <v>31</v>
      </c>
      <c r="L18" s="16">
        <f t="shared" ref="L18:M18" si="2">100*100000</f>
        <v>10000000</v>
      </c>
      <c r="M18" s="16">
        <f t="shared" si="2"/>
        <v>10000000</v>
      </c>
    </row>
    <row r="19" spans="4:15" ht="16.5" customHeight="1" x14ac:dyDescent="0.4">
      <c r="D19" s="39"/>
      <c r="E19" s="40"/>
      <c r="F19" s="40"/>
      <c r="G19" s="40"/>
      <c r="H19" s="41"/>
      <c r="I19" s="18"/>
      <c r="J19" s="1" t="s">
        <v>32</v>
      </c>
      <c r="K19" s="11" t="s">
        <v>63</v>
      </c>
      <c r="L19" s="16">
        <f t="shared" ref="L19:M19" si="3">4*10000</f>
        <v>40000</v>
      </c>
      <c r="M19" s="16">
        <f t="shared" si="3"/>
        <v>40000</v>
      </c>
      <c r="N19" s="1"/>
    </row>
    <row r="20" spans="4:15" ht="16.5" customHeight="1" x14ac:dyDescent="0.4">
      <c r="D20" s="39"/>
      <c r="E20" s="40"/>
      <c r="F20" s="40"/>
      <c r="G20" s="40"/>
      <c r="H20" s="41"/>
      <c r="I20" s="12"/>
      <c r="J20" s="46" t="s">
        <v>61</v>
      </c>
      <c r="K20" s="19" t="s">
        <v>79</v>
      </c>
      <c r="L20" s="16">
        <v>0</v>
      </c>
      <c r="M20" s="20">
        <f>5000*64800/12</f>
        <v>27000000</v>
      </c>
    </row>
    <row r="21" spans="4:15" ht="16.5" customHeight="1" x14ac:dyDescent="0.35">
      <c r="D21" s="39"/>
      <c r="E21" s="40"/>
      <c r="F21" s="40"/>
      <c r="G21" s="40"/>
      <c r="H21" s="41"/>
      <c r="I21" s="12"/>
      <c r="J21" s="2" t="s">
        <v>33</v>
      </c>
      <c r="K21" s="19" t="s">
        <v>80</v>
      </c>
      <c r="L21" s="16">
        <v>0</v>
      </c>
      <c r="M21" s="59">
        <f>100*64800</f>
        <v>6480000</v>
      </c>
      <c r="O21" s="1"/>
    </row>
    <row r="22" spans="4:15" ht="34.799999999999997" customHeight="1" thickBot="1" x14ac:dyDescent="0.45">
      <c r="D22" s="42"/>
      <c r="E22" s="43"/>
      <c r="F22" s="43"/>
      <c r="G22" s="43"/>
      <c r="H22" s="44"/>
      <c r="I22" s="12"/>
      <c r="J22" s="46" t="s">
        <v>44</v>
      </c>
      <c r="K22" s="21" t="s">
        <v>34</v>
      </c>
      <c r="L22" s="22">
        <v>0</v>
      </c>
      <c r="M22" s="57">
        <f>3.7*110000</f>
        <v>407000</v>
      </c>
    </row>
    <row r="23" spans="4:15" ht="16.5" customHeight="1" thickTop="1" thickBot="1" x14ac:dyDescent="0.35">
      <c r="K23" s="23" t="s">
        <v>35</v>
      </c>
      <c r="L23" s="24">
        <f t="shared" ref="L23:M23" si="4">SUM(L7:L22)</f>
        <v>3450040000</v>
      </c>
      <c r="M23" s="25">
        <f t="shared" si="4"/>
        <v>1018690698.630137</v>
      </c>
    </row>
    <row r="24" spans="4:15" ht="16.5" customHeight="1" thickTop="1" x14ac:dyDescent="0.3"/>
    <row r="25" spans="4:15" ht="16.5" customHeight="1" x14ac:dyDescent="0.3"/>
    <row r="26" spans="4:15" ht="16.5" customHeight="1" x14ac:dyDescent="0.3"/>
    <row r="27" spans="4:15" ht="16.5" customHeight="1" x14ac:dyDescent="0.3"/>
    <row r="28" spans="4:15" ht="16.5" customHeight="1" x14ac:dyDescent="0.3"/>
    <row r="29" spans="4:15" ht="16.5" customHeight="1" x14ac:dyDescent="0.3"/>
    <row r="30" spans="4:15" ht="16.5" customHeight="1" x14ac:dyDescent="0.3"/>
    <row r="31" spans="4:15" ht="16.5" customHeight="1" x14ac:dyDescent="0.3"/>
    <row r="32" spans="4:15" ht="16.5" customHeight="1" x14ac:dyDescent="0.3"/>
    <row r="33" spans="1:3" ht="16.5" customHeight="1" x14ac:dyDescent="0.3"/>
    <row r="34" spans="1:3" ht="16.5" customHeight="1" x14ac:dyDescent="0.3"/>
    <row r="35" spans="1:3" ht="16.5" customHeight="1" x14ac:dyDescent="0.3"/>
    <row r="36" spans="1:3" ht="16.5" customHeight="1" x14ac:dyDescent="0.3"/>
    <row r="37" spans="1:3" ht="16.5" customHeight="1" x14ac:dyDescent="0.3">
      <c r="A37" s="3"/>
      <c r="B37" s="3"/>
      <c r="C37" s="3"/>
    </row>
    <row r="38" spans="1:3" ht="16.5" customHeight="1" x14ac:dyDescent="0.3"/>
    <row r="39" spans="1:3" ht="16.5" customHeight="1" x14ac:dyDescent="0.3"/>
    <row r="40" spans="1:3" ht="16.5" customHeight="1" x14ac:dyDescent="0.3"/>
    <row r="41" spans="1:3" ht="16.5" customHeight="1" x14ac:dyDescent="0.3"/>
    <row r="42" spans="1:3" ht="16.5" customHeight="1" x14ac:dyDescent="0.3"/>
    <row r="43" spans="1:3" ht="16.5" customHeight="1" x14ac:dyDescent="0.3"/>
    <row r="44" spans="1:3" ht="16.5" customHeight="1" x14ac:dyDescent="0.3"/>
    <row r="45" spans="1:3" ht="16.5" customHeight="1" x14ac:dyDescent="0.3"/>
    <row r="46" spans="1:3" ht="16.5" customHeight="1" x14ac:dyDescent="0.3"/>
    <row r="47" spans="1:3" ht="16.5" customHeight="1" x14ac:dyDescent="0.3"/>
    <row r="48" spans="1:3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</sheetData>
  <mergeCells count="7">
    <mergeCell ref="D18:H22"/>
    <mergeCell ref="P1:Q1"/>
    <mergeCell ref="L2:L3"/>
    <mergeCell ref="N3:N4"/>
    <mergeCell ref="D6:H6"/>
    <mergeCell ref="D7:H12"/>
    <mergeCell ref="D13:H17"/>
  </mergeCells>
  <phoneticPr fontId="8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1001"/>
  <sheetViews>
    <sheetView workbookViewId="0">
      <selection activeCell="D11" sqref="D11"/>
    </sheetView>
  </sheetViews>
  <sheetFormatPr defaultColWidth="14.44140625" defaultRowHeight="15" customHeight="1" x14ac:dyDescent="0.3"/>
  <cols>
    <col min="1" max="2" width="3.44140625" customWidth="1"/>
    <col min="3" max="3" width="3.88671875" customWidth="1"/>
    <col min="4" max="26" width="8.6640625" customWidth="1"/>
  </cols>
  <sheetData>
    <row r="1" spans="2:21" ht="16.5" customHeight="1" x14ac:dyDescent="0.3">
      <c r="C1" s="1"/>
    </row>
    <row r="2" spans="2:21" ht="16.5" customHeight="1" x14ac:dyDescent="0.3">
      <c r="C2" s="28" t="s">
        <v>36</v>
      </c>
      <c r="D2" s="28"/>
    </row>
    <row r="3" spans="2:21" ht="16.5" customHeight="1" x14ac:dyDescent="0.3"/>
    <row r="4" spans="2:21" ht="16.5" customHeight="1" x14ac:dyDescent="0.3">
      <c r="B4" s="3"/>
      <c r="C4" s="29" t="s">
        <v>37</v>
      </c>
      <c r="D4" s="29"/>
      <c r="E4" s="29"/>
      <c r="F4" s="29"/>
      <c r="G4" s="29"/>
      <c r="H4" s="29"/>
    </row>
    <row r="5" spans="2:21" ht="16.5" customHeight="1" x14ac:dyDescent="0.3">
      <c r="B5" s="30"/>
      <c r="C5" s="3"/>
      <c r="D5" s="1" t="s">
        <v>38</v>
      </c>
    </row>
    <row r="6" spans="2:21" ht="16.5" customHeight="1" x14ac:dyDescent="0.3">
      <c r="B6" s="30"/>
      <c r="C6" s="3"/>
      <c r="D6" s="31" t="s">
        <v>39</v>
      </c>
      <c r="E6" s="27"/>
      <c r="F6" s="27"/>
      <c r="G6" s="27"/>
      <c r="H6" s="32"/>
      <c r="I6" s="32"/>
      <c r="J6" s="27"/>
      <c r="K6" s="27"/>
      <c r="L6" s="27"/>
      <c r="M6" s="27"/>
      <c r="N6" s="27"/>
      <c r="O6" s="27"/>
      <c r="P6" s="27"/>
      <c r="Q6" s="27"/>
      <c r="R6" s="27"/>
      <c r="S6" s="26"/>
      <c r="T6" s="26"/>
    </row>
    <row r="7" spans="2:21" ht="16.5" customHeight="1" x14ac:dyDescent="0.3">
      <c r="H7" s="1" t="s">
        <v>40</v>
      </c>
    </row>
    <row r="8" spans="2:21" ht="16.5" customHeight="1" x14ac:dyDescent="0.3"/>
    <row r="9" spans="2:21" ht="16.5" customHeight="1" x14ac:dyDescent="0.3">
      <c r="C9" s="29" t="s">
        <v>41</v>
      </c>
    </row>
    <row r="10" spans="2:21" ht="16.5" customHeight="1" x14ac:dyDescent="0.3">
      <c r="D10" s="1" t="s">
        <v>42</v>
      </c>
    </row>
    <row r="11" spans="2:21" ht="16.5" customHeight="1" x14ac:dyDescent="0.4">
      <c r="D11" s="55" t="s">
        <v>60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2:21" ht="16.5" customHeight="1" x14ac:dyDescent="0.3"/>
    <row r="13" spans="2:21" ht="16.5" customHeight="1" x14ac:dyDescent="0.3"/>
    <row r="14" spans="2:21" ht="16.5" customHeight="1" x14ac:dyDescent="0.3"/>
    <row r="15" spans="2:21" ht="16.5" customHeight="1" x14ac:dyDescent="0.3"/>
    <row r="16" spans="2:21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phoneticPr fontId="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로지스틱 -1 </vt:lpstr>
      <vt:lpstr>로지스틱 -2</vt:lpstr>
      <vt:lpstr>로지스틱 -3</vt:lpstr>
      <vt:lpstr>KNN-1</vt:lpstr>
      <vt:lpstr>KNN-2</vt:lpstr>
      <vt:lpstr>비용함수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김수민</dc:creator>
  <cp:lastModifiedBy>김수민[ 학부재학 / 통계학과 ]</cp:lastModifiedBy>
  <dcterms:created xsi:type="dcterms:W3CDTF">2015-06-05T18:17:20Z</dcterms:created>
  <dcterms:modified xsi:type="dcterms:W3CDTF">2023-11-12T05:53:28Z</dcterms:modified>
</cp:coreProperties>
</file>