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公式" sheetId="2" r:id="rId2"/>
    <sheet name="ADC电源1" sheetId="4" r:id="rId3"/>
    <sheet name="ADC电源2" sheetId="5" r:id="rId4"/>
  </sheets>
  <calcPr calcId="152511"/>
</workbook>
</file>

<file path=xl/calcChain.xml><?xml version="1.0" encoding="utf-8"?>
<calcChain xmlns="http://schemas.openxmlformats.org/spreadsheetml/2006/main">
  <c r="Y19" i="1" l="1"/>
  <c r="Z19" i="1" s="1"/>
  <c r="X19" i="1" a="1"/>
  <c r="X19" i="1" s="1"/>
  <c r="Y18" i="1"/>
  <c r="Z18" i="1" s="1"/>
  <c r="X18" i="1" a="1"/>
  <c r="X18" i="1" s="1"/>
  <c r="Y17" i="1"/>
  <c r="Z17" i="1" s="1"/>
  <c r="X17" i="1" a="1"/>
  <c r="X17" i="1" s="1"/>
  <c r="Y16" i="1"/>
  <c r="Z16" i="1" s="1"/>
  <c r="X16" i="1" a="1"/>
  <c r="X16" i="1" s="1"/>
  <c r="Y15" i="1"/>
  <c r="Z15" i="1" s="1"/>
  <c r="Y14" i="1"/>
  <c r="Z14" i="1" s="1"/>
  <c r="Y13" i="1"/>
  <c r="Z13" i="1" s="1"/>
  <c r="X13" i="1" a="1"/>
  <c r="X13" i="1" s="1"/>
  <c r="Z12" i="1"/>
  <c r="Y12" i="1"/>
  <c r="X12" i="1" a="1"/>
  <c r="X12" i="1" s="1"/>
  <c r="Y11" i="1"/>
  <c r="Z11" i="1" s="1"/>
  <c r="X11" i="1" a="1"/>
  <c r="X11" i="1" s="1"/>
  <c r="Y10" i="1"/>
  <c r="Z10" i="1" s="1"/>
  <c r="X10" i="1" a="1"/>
  <c r="X10" i="1" s="1"/>
  <c r="Y9" i="1"/>
  <c r="Z9" i="1" s="1"/>
  <c r="Y8" i="1"/>
  <c r="Z8" i="1" s="1"/>
  <c r="X8" i="1" a="1"/>
  <c r="X8" i="1" s="1"/>
  <c r="Y7" i="1"/>
  <c r="Z7" i="1" s="1"/>
  <c r="Y6" i="1"/>
  <c r="Z6" i="1" s="1"/>
  <c r="Y5" i="1"/>
  <c r="Z5" i="1" s="1"/>
  <c r="Y4" i="1"/>
  <c r="Z4" i="1" s="1"/>
  <c r="Y3" i="1"/>
  <c r="Z3" i="1" s="1"/>
  <c r="Y2" i="1"/>
  <c r="Z2" i="1" s="1"/>
  <c r="T6" i="1"/>
  <c r="T8" i="1"/>
  <c r="T10" i="1"/>
  <c r="T11" i="1"/>
  <c r="T15" i="1"/>
  <c r="T2" i="1"/>
  <c r="D3" i="1"/>
  <c r="D4" i="1"/>
  <c r="D5" i="1"/>
  <c r="D6" i="1"/>
  <c r="D7" i="1"/>
  <c r="D8" i="1"/>
  <c r="D9" i="1"/>
  <c r="K9" i="1" s="1"/>
  <c r="D10" i="1"/>
  <c r="K10" i="1" s="1"/>
  <c r="D11" i="1"/>
  <c r="K11" i="1" s="1"/>
  <c r="D12" i="1"/>
  <c r="K12" i="1" s="1"/>
  <c r="D13" i="1"/>
  <c r="K13" i="1" s="1"/>
  <c r="D14" i="1"/>
  <c r="K14" i="1" s="1"/>
  <c r="D15" i="1"/>
  <c r="D16" i="1"/>
  <c r="D17" i="1"/>
  <c r="D18" i="1"/>
  <c r="D19" i="1"/>
  <c r="D2" i="1"/>
  <c r="K2" i="1" s="1"/>
  <c r="K3" i="1"/>
  <c r="K4" i="1"/>
  <c r="K5" i="1"/>
  <c r="K6" i="1"/>
  <c r="K7" i="1"/>
  <c r="K8" i="1"/>
  <c r="K15" i="1"/>
  <c r="K16" i="1"/>
  <c r="K17" i="1"/>
  <c r="K18" i="1"/>
  <c r="K19" i="1"/>
  <c r="E2" i="1"/>
  <c r="S3" i="1"/>
  <c r="T3" i="1" s="1"/>
  <c r="R3" i="1" a="1"/>
  <c r="R3" i="1" s="1"/>
  <c r="S2" i="1"/>
  <c r="R2" i="1" s="1" a="1"/>
  <c r="R2" i="1" s="1"/>
  <c r="S12" i="1"/>
  <c r="T12" i="1" s="1"/>
  <c r="S19" i="1"/>
  <c r="R19" i="1" s="1" a="1"/>
  <c r="R19" i="1" s="1"/>
  <c r="S18" i="1"/>
  <c r="T18" i="1" s="1"/>
  <c r="S17" i="1"/>
  <c r="T17" i="1" s="1"/>
  <c r="S16" i="1"/>
  <c r="T16" i="1" s="1"/>
  <c r="S15" i="1"/>
  <c r="R15" i="1" s="1" a="1"/>
  <c r="R15" i="1" s="1"/>
  <c r="S13" i="1"/>
  <c r="R13" i="1" s="1" a="1"/>
  <c r="R13" i="1" s="1"/>
  <c r="S11" i="1"/>
  <c r="R11" i="1" s="1" a="1"/>
  <c r="R11" i="1" s="1"/>
  <c r="S10" i="1"/>
  <c r="R10" i="1" s="1" a="1"/>
  <c r="R10" i="1" s="1"/>
  <c r="S9" i="1"/>
  <c r="R9" i="1" s="1" a="1"/>
  <c r="R9" i="1" s="1"/>
  <c r="S8" i="1"/>
  <c r="R8" i="1" s="1" a="1"/>
  <c r="R8" i="1" s="1"/>
  <c r="S7" i="1"/>
  <c r="R7" i="1" s="1" a="1"/>
  <c r="R7" i="1" s="1"/>
  <c r="S6" i="1"/>
  <c r="R6" i="1" s="1" a="1"/>
  <c r="R6" i="1" s="1"/>
  <c r="S5" i="1"/>
  <c r="R5" i="1" s="1" a="1"/>
  <c r="R5" i="1" s="1"/>
  <c r="S4" i="1"/>
  <c r="T4" i="1" s="1"/>
  <c r="S14" i="1"/>
  <c r="T14" i="1" s="1"/>
  <c r="R17" i="1" a="1"/>
  <c r="R17" i="1" s="1"/>
  <c r="R4" i="1" a="1"/>
  <c r="R4" i="1" s="1"/>
  <c r="AA1" i="1" l="1"/>
  <c r="R16" i="1" a="1"/>
  <c r="R16" i="1" s="1"/>
  <c r="R12" i="1" a="1"/>
  <c r="R12" i="1" s="1"/>
  <c r="T13" i="1"/>
  <c r="X3" i="1" a="1"/>
  <c r="X3" i="1" s="1"/>
  <c r="X9" i="1" a="1"/>
  <c r="X9" i="1" s="1"/>
  <c r="X14" i="1" a="1"/>
  <c r="X14" i="1" s="1"/>
  <c r="R18" i="1" a="1"/>
  <c r="R18" i="1" s="1"/>
  <c r="T9" i="1"/>
  <c r="X5" i="1" a="1"/>
  <c r="X5" i="1" s="1"/>
  <c r="T19" i="1"/>
  <c r="T7" i="1"/>
  <c r="X6" i="1" a="1"/>
  <c r="X6" i="1" s="1"/>
  <c r="T5" i="1"/>
  <c r="R14" i="1" a="1"/>
  <c r="R14" i="1" s="1"/>
  <c r="X15" i="1" a="1"/>
  <c r="X15" i="1" s="1"/>
  <c r="X2" i="1" a="1"/>
  <c r="X2" i="1" s="1"/>
  <c r="X7" i="1" a="1"/>
  <c r="X7" i="1" s="1"/>
  <c r="X4" i="1" a="1"/>
  <c r="X4" i="1" s="1"/>
  <c r="O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J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J2" i="1"/>
  <c r="J19" i="1" l="1"/>
  <c r="J18" i="1"/>
  <c r="J17" i="1"/>
  <c r="J16" i="1"/>
  <c r="J15" i="1"/>
  <c r="J14" i="1"/>
  <c r="J13" i="1"/>
  <c r="J12" i="1"/>
  <c r="J11" i="1"/>
  <c r="J10" i="1"/>
  <c r="J8" i="1"/>
  <c r="J7" i="1"/>
  <c r="J6" i="1"/>
  <c r="J5" i="1"/>
  <c r="J4" i="1"/>
  <c r="J9" i="1"/>
  <c r="M35" i="2"/>
  <c r="M38" i="2"/>
  <c r="M37" i="2"/>
  <c r="M36" i="2"/>
  <c r="M34" i="2"/>
  <c r="M33" i="2"/>
  <c r="M39" i="2"/>
  <c r="L33" i="2"/>
  <c r="K36" i="2"/>
  <c r="L36" i="2" s="1"/>
  <c r="K35" i="2"/>
  <c r="L35" i="2" s="1"/>
  <c r="K34" i="2"/>
  <c r="L34" i="2" s="1"/>
  <c r="K33" i="2"/>
  <c r="K38" i="2"/>
  <c r="L38" i="2" s="1"/>
  <c r="K37" i="2"/>
  <c r="L37" i="2" s="1"/>
  <c r="L39" i="2"/>
  <c r="K39" i="2"/>
  <c r="I38" i="2"/>
  <c r="H38" i="2"/>
  <c r="I37" i="2"/>
  <c r="H37" i="2"/>
  <c r="J37" i="2" s="1"/>
  <c r="I36" i="2"/>
  <c r="H36" i="2"/>
  <c r="J36" i="2" s="1"/>
  <c r="I35" i="2"/>
  <c r="H35" i="2"/>
  <c r="J35" i="2" s="1"/>
  <c r="I39" i="2"/>
  <c r="E46" i="5"/>
  <c r="H39" i="2"/>
  <c r="E29" i="5"/>
  <c r="E45" i="5"/>
  <c r="G21" i="5"/>
  <c r="G20" i="5"/>
  <c r="E25" i="5"/>
  <c r="D25" i="5" s="1"/>
  <c r="F25" i="5" s="1"/>
  <c r="E26" i="5"/>
  <c r="E27" i="5"/>
  <c r="E28" i="5"/>
  <c r="E30" i="5"/>
  <c r="E31" i="5"/>
  <c r="E32" i="5"/>
  <c r="E33" i="5"/>
  <c r="E34" i="5"/>
  <c r="E35" i="5"/>
  <c r="E36" i="5"/>
  <c r="E37" i="5"/>
  <c r="D37" i="5" s="1"/>
  <c r="F37" i="5" s="1"/>
  <c r="E38" i="5"/>
  <c r="E39" i="5"/>
  <c r="E40" i="5"/>
  <c r="E41" i="5"/>
  <c r="D41" i="5" s="1"/>
  <c r="F41" i="5" s="1"/>
  <c r="E42" i="5"/>
  <c r="E43" i="5"/>
  <c r="D43" i="5" s="1"/>
  <c r="C42" i="5"/>
  <c r="C40" i="5"/>
  <c r="C39" i="5"/>
  <c r="C38" i="5"/>
  <c r="C37" i="5"/>
  <c r="C36" i="5"/>
  <c r="C35" i="5"/>
  <c r="C34" i="5"/>
  <c r="H33" i="5"/>
  <c r="C33" i="5"/>
  <c r="G33" i="5" s="1"/>
  <c r="C32" i="5"/>
  <c r="C31" i="5"/>
  <c r="C30" i="5"/>
  <c r="C29" i="5"/>
  <c r="C28" i="5"/>
  <c r="C27" i="5"/>
  <c r="C26" i="5"/>
  <c r="E28" i="4"/>
  <c r="G21" i="4"/>
  <c r="G20" i="4"/>
  <c r="E26" i="4"/>
  <c r="E27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25" i="4"/>
  <c r="D25" i="4" s="1"/>
  <c r="F25" i="4" s="1"/>
  <c r="J39" i="2" l="1"/>
  <c r="J38" i="2"/>
  <c r="D35" i="5"/>
  <c r="F35" i="5" s="1"/>
  <c r="D40" i="5"/>
  <c r="F40" i="5" s="1"/>
  <c r="D31" i="5"/>
  <c r="F31" i="5" s="1"/>
  <c r="D29" i="5"/>
  <c r="F29" i="5" s="1"/>
  <c r="D36" i="5"/>
  <c r="F36" i="5" s="1"/>
  <c r="D39" i="5"/>
  <c r="F39" i="5" s="1"/>
  <c r="D38" i="5"/>
  <c r="F38" i="5" s="1"/>
  <c r="D27" i="5"/>
  <c r="F27" i="5" s="1"/>
  <c r="D30" i="5"/>
  <c r="F30" i="5" s="1"/>
  <c r="D28" i="5"/>
  <c r="F28" i="5" s="1"/>
  <c r="D42" i="5"/>
  <c r="F42" i="5" s="1"/>
  <c r="D33" i="5"/>
  <c r="F33" i="5" s="1"/>
  <c r="D34" i="5"/>
  <c r="F34" i="5" s="1"/>
  <c r="D26" i="5"/>
  <c r="F26" i="5" s="1"/>
  <c r="D32" i="5"/>
  <c r="F32" i="5" s="1"/>
  <c r="D42" i="4"/>
  <c r="F42" i="4" s="1"/>
  <c r="D38" i="4"/>
  <c r="F38" i="4" s="1"/>
  <c r="D31" i="4"/>
  <c r="F31" i="4" s="1"/>
  <c r="H33" i="4"/>
  <c r="C27" i="4"/>
  <c r="D27" i="4" s="1"/>
  <c r="F27" i="4" s="1"/>
  <c r="C28" i="4"/>
  <c r="D28" i="4" s="1"/>
  <c r="F28" i="4" s="1"/>
  <c r="C29" i="4"/>
  <c r="D29" i="4" s="1"/>
  <c r="F29" i="4" s="1"/>
  <c r="C30" i="4"/>
  <c r="D30" i="4" s="1"/>
  <c r="F30" i="4" s="1"/>
  <c r="C31" i="4"/>
  <c r="C32" i="4"/>
  <c r="C33" i="4"/>
  <c r="G33" i="4" s="1"/>
  <c r="C34" i="4"/>
  <c r="D34" i="4" s="1"/>
  <c r="F34" i="4" s="1"/>
  <c r="C35" i="4"/>
  <c r="D35" i="4" s="1"/>
  <c r="F35" i="4" s="1"/>
  <c r="C36" i="4"/>
  <c r="C37" i="4"/>
  <c r="C38" i="4"/>
  <c r="C39" i="4"/>
  <c r="C40" i="4"/>
  <c r="C26" i="4"/>
  <c r="D26" i="4" s="1"/>
  <c r="F26" i="4" s="1"/>
  <c r="G24" i="5" l="1"/>
  <c r="D33" i="4"/>
  <c r="F33" i="4" s="1"/>
  <c r="D32" i="4"/>
  <c r="F32" i="4" s="1"/>
  <c r="D43" i="4"/>
  <c r="D39" i="4"/>
  <c r="F39" i="4" s="1"/>
  <c r="P22" i="2"/>
  <c r="G22" i="2"/>
  <c r="P21" i="2"/>
  <c r="P23" i="2"/>
  <c r="P24" i="2"/>
  <c r="P25" i="2"/>
  <c r="P20" i="2"/>
  <c r="P3" i="2"/>
  <c r="G23" i="2"/>
  <c r="G24" i="2"/>
  <c r="G25" i="2"/>
  <c r="G21" i="2"/>
  <c r="G20" i="2"/>
  <c r="G12" i="2"/>
  <c r="G11" i="2"/>
  <c r="D41" i="4" l="1"/>
  <c r="F41" i="4" s="1"/>
  <c r="D37" i="4"/>
  <c r="F37" i="4" s="1"/>
  <c r="D36" i="4"/>
  <c r="F36" i="4" s="1"/>
  <c r="D40" i="4"/>
  <c r="F40" i="4" s="1"/>
  <c r="G24" i="4" l="1"/>
  <c r="P5" i="2" l="1"/>
  <c r="P4" i="2"/>
  <c r="G4" i="2"/>
  <c r="G3" i="2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" i="1"/>
  <c r="I7" i="1" l="1" a="1"/>
  <c r="I7" i="1" s="1"/>
  <c r="I17" i="1" a="1"/>
  <c r="I17" i="1" s="1"/>
  <c r="I11" i="1" a="1"/>
  <c r="I11" i="1" s="1"/>
  <c r="I18" i="1" a="1"/>
  <c r="I18" i="1" s="1"/>
  <c r="I6" i="1" a="1"/>
  <c r="I6" i="1" s="1"/>
  <c r="I5" i="1" a="1"/>
  <c r="I5" i="1" s="1"/>
  <c r="I16" i="1" a="1"/>
  <c r="I16" i="1" s="1"/>
  <c r="I4" i="1" a="1"/>
  <c r="I4" i="1" s="1"/>
  <c r="I15" i="1" a="1"/>
  <c r="I15" i="1" s="1"/>
  <c r="I3" i="1" a="1"/>
  <c r="I3" i="1" s="1"/>
  <c r="I10" i="1" a="1"/>
  <c r="I10" i="1" s="1"/>
  <c r="I14" i="1" a="1"/>
  <c r="I14" i="1" s="1"/>
  <c r="I2" i="1" a="1"/>
  <c r="I2" i="1" s="1"/>
  <c r="I13" i="1" a="1"/>
  <c r="I13" i="1" s="1"/>
  <c r="I12" i="1" a="1"/>
  <c r="I12" i="1" s="1"/>
  <c r="N5" i="1" a="1"/>
  <c r="N5" i="1" s="1"/>
  <c r="N13" i="1" a="1"/>
  <c r="N13" i="1" s="1"/>
  <c r="N9" i="1" a="1"/>
  <c r="N9" i="1" s="1"/>
  <c r="N14" i="1" a="1"/>
  <c r="N14" i="1" s="1"/>
  <c r="N2" i="1" a="1"/>
  <c r="N2" i="1" s="1"/>
  <c r="N16" i="1" a="1"/>
  <c r="N16" i="1" s="1"/>
  <c r="N17" i="1" a="1"/>
  <c r="N17" i="1" s="1"/>
  <c r="N8" i="1" a="1"/>
  <c r="N8" i="1" s="1"/>
  <c r="N4" i="1" a="1"/>
  <c r="N4" i="1" s="1"/>
  <c r="N19" i="1" a="1"/>
  <c r="N19" i="1" s="1"/>
  <c r="N15" i="1" a="1"/>
  <c r="N15" i="1" s="1"/>
  <c r="N11" i="1" a="1"/>
  <c r="N11" i="1" s="1"/>
  <c r="N7" i="1" a="1"/>
  <c r="N7" i="1" s="1"/>
  <c r="N3" i="1" a="1"/>
  <c r="N3" i="1" s="1"/>
  <c r="N12" i="1" a="1"/>
  <c r="N12" i="1" s="1"/>
  <c r="N18" i="1" a="1"/>
  <c r="N18" i="1" s="1"/>
  <c r="N6" i="1" a="1"/>
  <c r="N6" i="1" s="1"/>
  <c r="N10" i="1" a="1"/>
  <c r="N10" i="1" s="1"/>
  <c r="I8" i="1" a="1"/>
  <c r="I8" i="1" s="1"/>
  <c r="I19" i="1" a="1"/>
  <c r="I19" i="1" s="1"/>
  <c r="I9" i="1" a="1"/>
  <c r="I9" i="1" s="1"/>
  <c r="U1" i="1" l="1"/>
  <c r="L1" i="1"/>
</calcChain>
</file>

<file path=xl/sharedStrings.xml><?xml version="1.0" encoding="utf-8"?>
<sst xmlns="http://schemas.openxmlformats.org/spreadsheetml/2006/main" count="148" uniqueCount="72">
  <si>
    <t>温度</t>
    <phoneticPr fontId="1" type="noConversion"/>
  </si>
  <si>
    <t>NTC Kohm</t>
    <phoneticPr fontId="1" type="noConversion"/>
  </si>
  <si>
    <t>Voltage 伏</t>
    <phoneticPr fontId="1" type="noConversion"/>
  </si>
  <si>
    <t>步骤</t>
    <phoneticPr fontId="1" type="noConversion"/>
  </si>
  <si>
    <t>在R535处用高速电源直接供1.11V</t>
    <phoneticPr fontId="1" type="noConversion"/>
  </si>
  <si>
    <t>读取ADC值，此ADC值表示为温度-20度</t>
    <phoneticPr fontId="1" type="noConversion"/>
  </si>
  <si>
    <t>以此类推，分别得到不同温度下的ADC值</t>
    <phoneticPr fontId="1" type="noConversion"/>
  </si>
  <si>
    <t>根据ADC值进行控制，当温度小于0度或大于45度时，禁止充电</t>
    <phoneticPr fontId="1" type="noConversion"/>
  </si>
  <si>
    <t>ADC值</t>
    <phoneticPr fontId="1" type="noConversion"/>
  </si>
  <si>
    <t>longueur</t>
    <phoneticPr fontId="2" type="noConversion"/>
  </si>
  <si>
    <t>ADC</t>
    <phoneticPr fontId="1" type="noConversion"/>
  </si>
  <si>
    <t>最大</t>
    <phoneticPr fontId="1" type="noConversion"/>
  </si>
  <si>
    <t>最小</t>
    <phoneticPr fontId="1" type="noConversion"/>
  </si>
  <si>
    <t>公式电压</t>
    <phoneticPr fontId="1" type="noConversion"/>
  </si>
  <si>
    <t>目标电压</t>
    <phoneticPr fontId="1" type="noConversion"/>
  </si>
  <si>
    <t>参数1</t>
    <phoneticPr fontId="1" type="noConversion"/>
  </si>
  <si>
    <t>参数2</t>
    <phoneticPr fontId="1" type="noConversion"/>
  </si>
  <si>
    <t>常温</t>
    <phoneticPr fontId="1" type="noConversion"/>
  </si>
  <si>
    <t>参数1</t>
    <phoneticPr fontId="1" type="noConversion"/>
  </si>
  <si>
    <t>接1.1V/-20度</t>
    <phoneticPr fontId="1" type="noConversion"/>
  </si>
  <si>
    <t>接1.1V/-20度</t>
    <phoneticPr fontId="1" type="noConversion"/>
  </si>
  <si>
    <t>接0.1V/60度</t>
    <phoneticPr fontId="1" type="noConversion"/>
  </si>
  <si>
    <t>常温2次</t>
    <phoneticPr fontId="1" type="noConversion"/>
  </si>
  <si>
    <t>常温1次</t>
    <phoneticPr fontId="1" type="noConversion"/>
  </si>
  <si>
    <t>接0.1V/60度</t>
    <phoneticPr fontId="1" type="noConversion"/>
  </si>
  <si>
    <t>显示25.2度</t>
    <phoneticPr fontId="1" type="noConversion"/>
  </si>
  <si>
    <t>显示25.1度</t>
    <phoneticPr fontId="1" type="noConversion"/>
  </si>
  <si>
    <t>log原参数</t>
    <phoneticPr fontId="1" type="noConversion"/>
  </si>
  <si>
    <t>接0.1V/60度</t>
    <phoneticPr fontId="1" type="noConversion"/>
  </si>
  <si>
    <t>20度</t>
    <phoneticPr fontId="1" type="noConversion"/>
  </si>
  <si>
    <t>30度</t>
    <phoneticPr fontId="1" type="noConversion"/>
  </si>
  <si>
    <t>25度</t>
    <phoneticPr fontId="1" type="noConversion"/>
  </si>
  <si>
    <t>这个说不通</t>
    <phoneticPr fontId="1" type="noConversion"/>
  </si>
  <si>
    <t>测试指令</t>
    <phoneticPr fontId="1" type="noConversion"/>
  </si>
  <si>
    <t>估计 570</t>
    <phoneticPr fontId="1" type="noConversion"/>
  </si>
  <si>
    <t>约32度</t>
    <phoneticPr fontId="1" type="noConversion"/>
  </si>
  <si>
    <t>约36度</t>
    <phoneticPr fontId="1" type="noConversion"/>
  </si>
  <si>
    <t>约31度</t>
    <phoneticPr fontId="1" type="noConversion"/>
  </si>
  <si>
    <t>约6度</t>
    <phoneticPr fontId="1" type="noConversion"/>
  </si>
  <si>
    <t>log新参数</t>
    <phoneticPr fontId="1" type="noConversion"/>
  </si>
  <si>
    <t>15度</t>
    <phoneticPr fontId="1" type="noConversion"/>
  </si>
  <si>
    <t>约17度</t>
    <phoneticPr fontId="1" type="noConversion"/>
  </si>
  <si>
    <t>约21度</t>
    <phoneticPr fontId="1" type="noConversion"/>
  </si>
  <si>
    <t>约25度</t>
    <phoneticPr fontId="1" type="noConversion"/>
  </si>
  <si>
    <t>差值</t>
    <phoneticPr fontId="1" type="noConversion"/>
  </si>
  <si>
    <t>方差</t>
    <phoneticPr fontId="1" type="noConversion"/>
  </si>
  <si>
    <t>直线ADC值</t>
  </si>
  <si>
    <t>直线ADC值</t>
    <phoneticPr fontId="1" type="noConversion"/>
  </si>
  <si>
    <t>修正ADC值</t>
    <phoneticPr fontId="1" type="noConversion"/>
  </si>
  <si>
    <t>实测ADC值</t>
    <phoneticPr fontId="1" type="noConversion"/>
  </si>
  <si>
    <t>倍数</t>
    <phoneticPr fontId="1" type="noConversion"/>
  </si>
  <si>
    <t>偏移</t>
    <phoneticPr fontId="1" type="noConversion"/>
  </si>
  <si>
    <t>加</t>
    <phoneticPr fontId="1" type="noConversion"/>
  </si>
  <si>
    <t>用pandora工具参数2</t>
    <phoneticPr fontId="1" type="noConversion"/>
  </si>
  <si>
    <t>用pandora工具参数1</t>
    <phoneticPr fontId="1" type="noConversion"/>
  </si>
  <si>
    <t>用pandora工具参数3</t>
    <phoneticPr fontId="1" type="noConversion"/>
  </si>
  <si>
    <t>0度</t>
    <phoneticPr fontId="1" type="noConversion"/>
  </si>
  <si>
    <t>差值2</t>
    <phoneticPr fontId="1" type="noConversion"/>
  </si>
  <si>
    <t>加</t>
    <phoneticPr fontId="1" type="noConversion"/>
  </si>
  <si>
    <t>差值1</t>
    <phoneticPr fontId="1" type="noConversion"/>
  </si>
  <si>
    <t>公式1</t>
    <phoneticPr fontId="1" type="noConversion"/>
  </si>
  <si>
    <t>公式2</t>
    <phoneticPr fontId="1" type="noConversion"/>
  </si>
  <si>
    <t>ADC值2</t>
    <phoneticPr fontId="1" type="noConversion"/>
  </si>
  <si>
    <t>温度</t>
    <phoneticPr fontId="1" type="noConversion"/>
  </si>
  <si>
    <t>方差2</t>
    <phoneticPr fontId="1" type="noConversion"/>
  </si>
  <si>
    <t>Vol公式2</t>
    <phoneticPr fontId="1" type="noConversion"/>
  </si>
  <si>
    <t>65+</t>
    <phoneticPr fontId="1" type="noConversion"/>
  </si>
  <si>
    <t>ADC值开机</t>
    <phoneticPr fontId="1" type="noConversion"/>
  </si>
  <si>
    <t>目标1-正</t>
    <phoneticPr fontId="1" type="noConversion"/>
  </si>
  <si>
    <t>目标2-中</t>
    <phoneticPr fontId="1" type="noConversion"/>
  </si>
  <si>
    <t>Vol 旧软件</t>
    <phoneticPr fontId="1" type="noConversion"/>
  </si>
  <si>
    <t>Vol 新软件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</si>
</sst>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0" tint="-0.249977111117893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 wrapText="1"/>
    </xf>
    <xf numFmtId="177" fontId="0" fillId="3" borderId="1" xfId="0" applyNumberForma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9" fillId="6" borderId="0" xfId="0" applyFont="1" applyFill="1">
      <alignment vertical="center"/>
    </xf>
    <xf numFmtId="0" fontId="4" fillId="6" borderId="0" xfId="0" applyFont="1" applyFill="1">
      <alignment vertical="center"/>
    </xf>
    <xf numFmtId="0" fontId="0" fillId="6" borderId="0" xfId="0" applyFill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1" fillId="2" borderId="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ADC电源1!$B$1</c:f>
              <c:strCache>
                <c:ptCount val="1"/>
                <c:pt idx="0">
                  <c:v>Voltage 伏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ADC电源1!$A$2:$A$19</c:f>
              <c:numCache>
                <c:formatCode>General</c:formatCode>
                <c:ptCount val="18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-5</c:v>
                </c:pt>
                <c:pt idx="4">
                  <c:v>0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35</c:v>
                </c:pt>
                <c:pt idx="12">
                  <c:v>40</c:v>
                </c:pt>
                <c:pt idx="13">
                  <c:v>45</c:v>
                </c:pt>
                <c:pt idx="14">
                  <c:v>50</c:v>
                </c:pt>
                <c:pt idx="15">
                  <c:v>55</c:v>
                </c:pt>
                <c:pt idx="16">
                  <c:v>60</c:v>
                </c:pt>
                <c:pt idx="17">
                  <c:v>65</c:v>
                </c:pt>
              </c:numCache>
            </c:numRef>
          </c:xVal>
          <c:yVal>
            <c:numRef>
              <c:f>ADC电源1!$B$2:$B$19</c:f>
              <c:numCache>
                <c:formatCode>0_ </c:formatCode>
                <c:ptCount val="18"/>
                <c:pt idx="0">
                  <c:v>1114257.9116601795</c:v>
                </c:pt>
                <c:pt idx="1">
                  <c:v>1002699.2788930034</c:v>
                </c:pt>
                <c:pt idx="2">
                  <c:v>892506.331901773</c:v>
                </c:pt>
                <c:pt idx="3">
                  <c:v>786651.58371040737</c:v>
                </c:pt>
                <c:pt idx="4">
                  <c:v>687566.84491978621</c:v>
                </c:pt>
                <c:pt idx="5">
                  <c:v>596576.3298255729</c:v>
                </c:pt>
                <c:pt idx="6">
                  <c:v>514977.73683402437</c:v>
                </c:pt>
                <c:pt idx="7">
                  <c:v>442586.59760440275</c:v>
                </c:pt>
                <c:pt idx="8">
                  <c:v>379262.51691474969</c:v>
                </c:pt>
                <c:pt idx="9">
                  <c:v>324561.40350877197</c:v>
                </c:pt>
                <c:pt idx="10">
                  <c:v>277667.26943942136</c:v>
                </c:pt>
                <c:pt idx="11">
                  <c:v>237425.81602373885</c:v>
                </c:pt>
                <c:pt idx="12">
                  <c:v>203219.69696969699</c:v>
                </c:pt>
                <c:pt idx="13">
                  <c:v>174016.96222050887</c:v>
                </c:pt>
                <c:pt idx="14">
                  <c:v>149432.81830627812</c:v>
                </c:pt>
                <c:pt idx="15">
                  <c:v>128558.70124727779</c:v>
                </c:pt>
                <c:pt idx="16">
                  <c:v>111000.00000000001</c:v>
                </c:pt>
                <c:pt idx="17">
                  <c:v>95915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068464"/>
        <c:axId val="985066832"/>
      </c:scatterChart>
      <c:valAx>
        <c:axId val="98506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5066832"/>
        <c:crosses val="autoZero"/>
        <c:crossBetween val="midCat"/>
      </c:valAx>
      <c:valAx>
        <c:axId val="98506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506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2.6840877605307768E-2"/>
          <c:y val="0.10352055948841669"/>
          <c:w val="0.92693090429463598"/>
          <c:h val="0.7315065702710819"/>
        </c:manualLayout>
      </c:layout>
      <c:scatterChart>
        <c:scatterStyle val="lineMarker"/>
        <c:varyColors val="0"/>
        <c:ser>
          <c:idx val="0"/>
          <c:order val="0"/>
          <c:tx>
            <c:strRef>
              <c:f>ADC电源1!$B$24</c:f>
              <c:strCache>
                <c:ptCount val="1"/>
                <c:pt idx="0">
                  <c:v>实测ADC值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ADC电源1!$A$25:$A$41</c:f>
              <c:numCache>
                <c:formatCode>General</c:formatCode>
                <c:ptCount val="17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-5</c:v>
                </c:pt>
                <c:pt idx="4">
                  <c:v>0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35</c:v>
                </c:pt>
                <c:pt idx="12">
                  <c:v>40</c:v>
                </c:pt>
                <c:pt idx="13">
                  <c:v>45</c:v>
                </c:pt>
                <c:pt idx="14">
                  <c:v>50</c:v>
                </c:pt>
                <c:pt idx="15">
                  <c:v>55</c:v>
                </c:pt>
                <c:pt idx="16">
                  <c:v>60</c:v>
                </c:pt>
              </c:numCache>
            </c:numRef>
          </c:xVal>
          <c:yVal>
            <c:numRef>
              <c:f>ADC电源1!$B$25:$B$41</c:f>
              <c:numCache>
                <c:formatCode>General</c:formatCode>
                <c:ptCount val="17"/>
                <c:pt idx="0">
                  <c:v>1813</c:v>
                </c:pt>
                <c:pt idx="1">
                  <c:v>1690.2</c:v>
                </c:pt>
                <c:pt idx="2">
                  <c:v>1567.4</c:v>
                </c:pt>
                <c:pt idx="3">
                  <c:v>1444.6</c:v>
                </c:pt>
                <c:pt idx="4">
                  <c:v>1321.8</c:v>
                </c:pt>
                <c:pt idx="5">
                  <c:v>1199</c:v>
                </c:pt>
                <c:pt idx="6">
                  <c:v>1076</c:v>
                </c:pt>
                <c:pt idx="7">
                  <c:v>1006</c:v>
                </c:pt>
                <c:pt idx="8">
                  <c:v>922</c:v>
                </c:pt>
                <c:pt idx="9">
                  <c:v>851</c:v>
                </c:pt>
                <c:pt idx="10">
                  <c:v>794</c:v>
                </c:pt>
                <c:pt idx="11">
                  <c:v>725</c:v>
                </c:pt>
                <c:pt idx="12">
                  <c:v>708</c:v>
                </c:pt>
                <c:pt idx="13">
                  <c:v>651</c:v>
                </c:pt>
                <c:pt idx="14">
                  <c:v>604.66666666666663</c:v>
                </c:pt>
                <c:pt idx="15">
                  <c:v>558.33333333333337</c:v>
                </c:pt>
                <c:pt idx="16">
                  <c:v>512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ADC电源1!$C$24</c:f>
              <c:strCache>
                <c:ptCount val="1"/>
                <c:pt idx="0">
                  <c:v>直线ADC值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ADC电源1!$A$25:$A$41</c:f>
              <c:numCache>
                <c:formatCode>General</c:formatCode>
                <c:ptCount val="17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-5</c:v>
                </c:pt>
                <c:pt idx="4">
                  <c:v>0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35</c:v>
                </c:pt>
                <c:pt idx="12">
                  <c:v>40</c:v>
                </c:pt>
                <c:pt idx="13">
                  <c:v>45</c:v>
                </c:pt>
                <c:pt idx="14">
                  <c:v>50</c:v>
                </c:pt>
                <c:pt idx="15">
                  <c:v>55</c:v>
                </c:pt>
                <c:pt idx="16">
                  <c:v>60</c:v>
                </c:pt>
              </c:numCache>
            </c:numRef>
          </c:xVal>
          <c:yVal>
            <c:numRef>
              <c:f>ADC电源1!$C$25:$C$41</c:f>
              <c:numCache>
                <c:formatCode>General</c:formatCode>
                <c:ptCount val="17"/>
                <c:pt idx="0">
                  <c:v>1813</c:v>
                </c:pt>
                <c:pt idx="1">
                  <c:v>1731.6875</c:v>
                </c:pt>
                <c:pt idx="2">
                  <c:v>1650.375</c:v>
                </c:pt>
                <c:pt idx="3">
                  <c:v>1569.0625</c:v>
                </c:pt>
                <c:pt idx="4">
                  <c:v>1487.75</c:v>
                </c:pt>
                <c:pt idx="5">
                  <c:v>1406.4375</c:v>
                </c:pt>
                <c:pt idx="6">
                  <c:v>1325.125</c:v>
                </c:pt>
                <c:pt idx="7">
                  <c:v>1243.8125</c:v>
                </c:pt>
                <c:pt idx="8">
                  <c:v>1162.5</c:v>
                </c:pt>
                <c:pt idx="9">
                  <c:v>1081.1875</c:v>
                </c:pt>
                <c:pt idx="10">
                  <c:v>999.875</c:v>
                </c:pt>
                <c:pt idx="11">
                  <c:v>918.5625</c:v>
                </c:pt>
                <c:pt idx="12">
                  <c:v>837.25</c:v>
                </c:pt>
                <c:pt idx="13">
                  <c:v>755.9375</c:v>
                </c:pt>
                <c:pt idx="14">
                  <c:v>674.625</c:v>
                </c:pt>
                <c:pt idx="15">
                  <c:v>593.3125</c:v>
                </c:pt>
                <c:pt idx="16">
                  <c:v>512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ADC电源1!$D$24</c:f>
              <c:strCache>
                <c:ptCount val="1"/>
                <c:pt idx="0">
                  <c:v>修正ADC值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ADC电源1!$A$25:$A$41</c:f>
              <c:numCache>
                <c:formatCode>General</c:formatCode>
                <c:ptCount val="17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-5</c:v>
                </c:pt>
                <c:pt idx="4">
                  <c:v>0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35</c:v>
                </c:pt>
                <c:pt idx="12">
                  <c:v>40</c:v>
                </c:pt>
                <c:pt idx="13">
                  <c:v>45</c:v>
                </c:pt>
                <c:pt idx="14">
                  <c:v>50</c:v>
                </c:pt>
                <c:pt idx="15">
                  <c:v>55</c:v>
                </c:pt>
                <c:pt idx="16">
                  <c:v>60</c:v>
                </c:pt>
              </c:numCache>
            </c:numRef>
          </c:xVal>
          <c:yVal>
            <c:numRef>
              <c:f>ADC电源1!$D$25:$D$41</c:f>
              <c:numCache>
                <c:formatCode>General</c:formatCode>
                <c:ptCount val="17"/>
                <c:pt idx="0">
                  <c:v>1823.5973866256725</c:v>
                </c:pt>
                <c:pt idx="1">
                  <c:v>1670.7246728400733</c:v>
                </c:pt>
                <c:pt idx="2">
                  <c:v>1531.0059976985863</c:v>
                </c:pt>
                <c:pt idx="3">
                  <c:v>1404.441361201212</c:v>
                </c:pt>
                <c:pt idx="4">
                  <c:v>1291.0307633479501</c:v>
                </c:pt>
                <c:pt idx="5">
                  <c:v>1190.774204138801</c:v>
                </c:pt>
                <c:pt idx="6">
                  <c:v>1103.6729827765573</c:v>
                </c:pt>
                <c:pt idx="7">
                  <c:v>1024.9584276177779</c:v>
                </c:pt>
                <c:pt idx="8">
                  <c:v>952.40545245301769</c:v>
                </c:pt>
                <c:pt idx="9">
                  <c:v>883.29662868888363</c:v>
                </c:pt>
                <c:pt idx="10">
                  <c:v>822.12606143096002</c:v>
                </c:pt>
                <c:pt idx="11">
                  <c:v>769.82144935437009</c:v>
                </c:pt>
                <c:pt idx="12">
                  <c:v>696.29346646392059</c:v>
                </c:pt>
                <c:pt idx="13">
                  <c:v>642.92166032444447</c:v>
                </c:pt>
                <c:pt idx="14">
                  <c:v>586.40935881222936</c:v>
                </c:pt>
                <c:pt idx="15">
                  <c:v>531.76967649552364</c:v>
                </c:pt>
                <c:pt idx="16">
                  <c:v>479.00261337432744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073360"/>
        <c:axId val="985058128"/>
      </c:scatterChart>
      <c:valAx>
        <c:axId val="98507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5058128"/>
        <c:crosses val="autoZero"/>
        <c:crossBetween val="midCat"/>
      </c:valAx>
      <c:valAx>
        <c:axId val="98505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507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ADC电源1!$B$1</c:f>
              <c:strCache>
                <c:ptCount val="1"/>
                <c:pt idx="0">
                  <c:v>Voltage 伏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ADC电源1!$A$2:$A$19</c:f>
              <c:numCache>
                <c:formatCode>General</c:formatCode>
                <c:ptCount val="18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-5</c:v>
                </c:pt>
                <c:pt idx="4">
                  <c:v>0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35</c:v>
                </c:pt>
                <c:pt idx="12">
                  <c:v>40</c:v>
                </c:pt>
                <c:pt idx="13">
                  <c:v>45</c:v>
                </c:pt>
                <c:pt idx="14">
                  <c:v>50</c:v>
                </c:pt>
                <c:pt idx="15">
                  <c:v>55</c:v>
                </c:pt>
                <c:pt idx="16">
                  <c:v>60</c:v>
                </c:pt>
                <c:pt idx="17">
                  <c:v>65</c:v>
                </c:pt>
              </c:numCache>
            </c:numRef>
          </c:xVal>
          <c:yVal>
            <c:numRef>
              <c:f>ADC电源1!$B$2:$B$19</c:f>
              <c:numCache>
                <c:formatCode>0_ </c:formatCode>
                <c:ptCount val="18"/>
                <c:pt idx="0">
                  <c:v>1114257.9116601795</c:v>
                </c:pt>
                <c:pt idx="1">
                  <c:v>1002699.2788930034</c:v>
                </c:pt>
                <c:pt idx="2">
                  <c:v>892506.331901773</c:v>
                </c:pt>
                <c:pt idx="3">
                  <c:v>786651.58371040737</c:v>
                </c:pt>
                <c:pt idx="4">
                  <c:v>687566.84491978621</c:v>
                </c:pt>
                <c:pt idx="5">
                  <c:v>596576.3298255729</c:v>
                </c:pt>
                <c:pt idx="6">
                  <c:v>514977.73683402437</c:v>
                </c:pt>
                <c:pt idx="7">
                  <c:v>442586.59760440275</c:v>
                </c:pt>
                <c:pt idx="8">
                  <c:v>379262.51691474969</c:v>
                </c:pt>
                <c:pt idx="9">
                  <c:v>324561.40350877197</c:v>
                </c:pt>
                <c:pt idx="10">
                  <c:v>277667.26943942136</c:v>
                </c:pt>
                <c:pt idx="11">
                  <c:v>237425.81602373885</c:v>
                </c:pt>
                <c:pt idx="12">
                  <c:v>203219.69696969699</c:v>
                </c:pt>
                <c:pt idx="13">
                  <c:v>174016.96222050887</c:v>
                </c:pt>
                <c:pt idx="14">
                  <c:v>149432.81830627812</c:v>
                </c:pt>
                <c:pt idx="15">
                  <c:v>128558.70124727779</c:v>
                </c:pt>
                <c:pt idx="16">
                  <c:v>111000.00000000001</c:v>
                </c:pt>
                <c:pt idx="17">
                  <c:v>95915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069552"/>
        <c:axId val="985061392"/>
      </c:scatterChart>
      <c:valAx>
        <c:axId val="985069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5061392"/>
        <c:crosses val="autoZero"/>
        <c:crossBetween val="midCat"/>
      </c:valAx>
      <c:valAx>
        <c:axId val="98506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5069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ADC电源2!$B$24</c:f>
              <c:strCache>
                <c:ptCount val="1"/>
                <c:pt idx="0">
                  <c:v>实测ADC值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ADC电源2!$A$25:$A$42</c:f>
              <c:numCache>
                <c:formatCode>General</c:formatCode>
                <c:ptCount val="18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-5</c:v>
                </c:pt>
                <c:pt idx="4">
                  <c:v>0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35</c:v>
                </c:pt>
                <c:pt idx="12">
                  <c:v>40</c:v>
                </c:pt>
                <c:pt idx="13">
                  <c:v>45</c:v>
                </c:pt>
                <c:pt idx="14">
                  <c:v>50</c:v>
                </c:pt>
                <c:pt idx="15">
                  <c:v>55</c:v>
                </c:pt>
                <c:pt idx="16">
                  <c:v>60</c:v>
                </c:pt>
                <c:pt idx="17">
                  <c:v>65</c:v>
                </c:pt>
              </c:numCache>
            </c:numRef>
          </c:xVal>
          <c:yVal>
            <c:numRef>
              <c:f>ADC电源2!$B$25:$B$42</c:f>
              <c:numCache>
                <c:formatCode>General</c:formatCode>
                <c:ptCount val="18"/>
                <c:pt idx="0">
                  <c:v>1439</c:v>
                </c:pt>
                <c:pt idx="1">
                  <c:v>1295</c:v>
                </c:pt>
                <c:pt idx="2">
                  <c:v>1159</c:v>
                </c:pt>
                <c:pt idx="3">
                  <c:v>1021</c:v>
                </c:pt>
                <c:pt idx="4">
                  <c:v>898</c:v>
                </c:pt>
                <c:pt idx="5">
                  <c:v>779</c:v>
                </c:pt>
                <c:pt idx="6">
                  <c:v>680</c:v>
                </c:pt>
                <c:pt idx="7">
                  <c:v>588</c:v>
                </c:pt>
                <c:pt idx="8">
                  <c:v>507</c:v>
                </c:pt>
                <c:pt idx="9">
                  <c:v>437</c:v>
                </c:pt>
                <c:pt idx="10">
                  <c:v>380</c:v>
                </c:pt>
                <c:pt idx="11">
                  <c:v>327</c:v>
                </c:pt>
                <c:pt idx="12">
                  <c:v>278</c:v>
                </c:pt>
                <c:pt idx="13">
                  <c:v>247</c:v>
                </c:pt>
                <c:pt idx="14">
                  <c:v>216</c:v>
                </c:pt>
                <c:pt idx="15">
                  <c:v>192</c:v>
                </c:pt>
                <c:pt idx="16">
                  <c:v>167</c:v>
                </c:pt>
                <c:pt idx="17">
                  <c:v>149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ADC电源2!$C$24</c:f>
              <c:strCache>
                <c:ptCount val="1"/>
                <c:pt idx="0">
                  <c:v>直线ADC值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ADC电源2!$A$25:$A$42</c:f>
              <c:numCache>
                <c:formatCode>General</c:formatCode>
                <c:ptCount val="18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-5</c:v>
                </c:pt>
                <c:pt idx="4">
                  <c:v>0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35</c:v>
                </c:pt>
                <c:pt idx="12">
                  <c:v>40</c:v>
                </c:pt>
                <c:pt idx="13">
                  <c:v>45</c:v>
                </c:pt>
                <c:pt idx="14">
                  <c:v>50</c:v>
                </c:pt>
                <c:pt idx="15">
                  <c:v>55</c:v>
                </c:pt>
                <c:pt idx="16">
                  <c:v>60</c:v>
                </c:pt>
                <c:pt idx="17">
                  <c:v>65</c:v>
                </c:pt>
              </c:numCache>
            </c:numRef>
          </c:xVal>
          <c:yVal>
            <c:numRef>
              <c:f>ADC电源2!$C$25:$C$42</c:f>
              <c:numCache>
                <c:formatCode>General</c:formatCode>
                <c:ptCount val="18"/>
                <c:pt idx="0">
                  <c:v>1439</c:v>
                </c:pt>
                <c:pt idx="1">
                  <c:v>1359.5</c:v>
                </c:pt>
                <c:pt idx="2">
                  <c:v>1280</c:v>
                </c:pt>
                <c:pt idx="3">
                  <c:v>1200.5</c:v>
                </c:pt>
                <c:pt idx="4">
                  <c:v>1121</c:v>
                </c:pt>
                <c:pt idx="5">
                  <c:v>1041.5</c:v>
                </c:pt>
                <c:pt idx="6">
                  <c:v>962</c:v>
                </c:pt>
                <c:pt idx="7">
                  <c:v>882.5</c:v>
                </c:pt>
                <c:pt idx="8">
                  <c:v>803</c:v>
                </c:pt>
                <c:pt idx="9">
                  <c:v>723.5</c:v>
                </c:pt>
                <c:pt idx="10">
                  <c:v>644</c:v>
                </c:pt>
                <c:pt idx="11">
                  <c:v>564.5</c:v>
                </c:pt>
                <c:pt idx="12">
                  <c:v>485</c:v>
                </c:pt>
                <c:pt idx="13">
                  <c:v>405.5</c:v>
                </c:pt>
                <c:pt idx="14">
                  <c:v>326</c:v>
                </c:pt>
                <c:pt idx="15">
                  <c:v>246.5</c:v>
                </c:pt>
                <c:pt idx="16">
                  <c:v>167</c:v>
                </c:pt>
                <c:pt idx="17">
                  <c:v>87.5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ADC电源2!$D$24</c:f>
              <c:strCache>
                <c:ptCount val="1"/>
                <c:pt idx="0">
                  <c:v>修正ADC值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ADC电源2!$A$25:$A$42</c:f>
              <c:numCache>
                <c:formatCode>General</c:formatCode>
                <c:ptCount val="18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-5</c:v>
                </c:pt>
                <c:pt idx="4">
                  <c:v>0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35</c:v>
                </c:pt>
                <c:pt idx="12">
                  <c:v>40</c:v>
                </c:pt>
                <c:pt idx="13">
                  <c:v>45</c:v>
                </c:pt>
                <c:pt idx="14">
                  <c:v>50</c:v>
                </c:pt>
                <c:pt idx="15">
                  <c:v>55</c:v>
                </c:pt>
                <c:pt idx="16">
                  <c:v>60</c:v>
                </c:pt>
                <c:pt idx="17">
                  <c:v>65</c:v>
                </c:pt>
              </c:numCache>
            </c:numRef>
          </c:xVal>
          <c:yVal>
            <c:numRef>
              <c:f>ADC电源2!$D$25:$D$42</c:f>
              <c:numCache>
                <c:formatCode>General</c:formatCode>
                <c:ptCount val="18"/>
                <c:pt idx="0">
                  <c:v>1441.8930817610062</c:v>
                </c:pt>
                <c:pt idx="1">
                  <c:v>1252.9304068653339</c:v>
                </c:pt>
                <c:pt idx="2">
                  <c:v>1093.5878460271604</c:v>
                </c:pt>
                <c:pt idx="3">
                  <c:v>956.44432211848402</c:v>
                </c:pt>
                <c:pt idx="4">
                  <c:v>845.41061714599402</c:v>
                </c:pt>
                <c:pt idx="5">
                  <c:v>753.20365710950887</c:v>
                </c:pt>
                <c:pt idx="6">
                  <c:v>676.47306520911945</c:v>
                </c:pt>
                <c:pt idx="7">
                  <c:v>610.40865101982718</c:v>
                </c:pt>
                <c:pt idx="8">
                  <c:v>551.39983450725219</c:v>
                </c:pt>
                <c:pt idx="9">
                  <c:v>496.14202755933104</c:v>
                </c:pt>
                <c:pt idx="10">
                  <c:v>440.85683030969562</c:v>
                </c:pt>
                <c:pt idx="11">
                  <c:v>387.47611758531929</c:v>
                </c:pt>
                <c:pt idx="12">
                  <c:v>335.46518485605475</c:v>
                </c:pt>
                <c:pt idx="13">
                  <c:v>278.62943309609972</c:v>
                </c:pt>
                <c:pt idx="14">
                  <c:v>222.98175061249822</c:v>
                </c:pt>
                <c:pt idx="15">
                  <c:v>162.76400862976541</c:v>
                </c:pt>
                <c:pt idx="16">
                  <c:v>104.1069182389937</c:v>
                </c:pt>
                <c:pt idx="17">
                  <c:v>40.092255207532773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070640"/>
        <c:axId val="985067920"/>
      </c:scatterChart>
      <c:valAx>
        <c:axId val="98507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5067920"/>
        <c:crosses val="autoZero"/>
        <c:crossBetween val="midCat"/>
      </c:valAx>
      <c:valAx>
        <c:axId val="98506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5070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0</xdr:rowOff>
    </xdr:from>
    <xdr:to>
      <xdr:col>9</xdr:col>
      <xdr:colOff>76200</xdr:colOff>
      <xdr:row>62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743200"/>
          <a:ext cx="6457950" cy="5543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63</xdr:row>
      <xdr:rowOff>76200</xdr:rowOff>
    </xdr:from>
    <xdr:to>
      <xdr:col>14</xdr:col>
      <xdr:colOff>447675</xdr:colOff>
      <xdr:row>77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8477250"/>
          <a:ext cx="10467975" cy="2409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104775</xdr:colOff>
      <xdr:row>33</xdr:row>
      <xdr:rowOff>47625</xdr:rowOff>
    </xdr:from>
    <xdr:to>
      <xdr:col>20</xdr:col>
      <xdr:colOff>188114</xdr:colOff>
      <xdr:row>54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600825" y="5705475"/>
          <a:ext cx="5569739" cy="3590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</xdr:row>
      <xdr:rowOff>4762</xdr:rowOff>
    </xdr:from>
    <xdr:to>
      <xdr:col>13</xdr:col>
      <xdr:colOff>114300</xdr:colOff>
      <xdr:row>17</xdr:row>
      <xdr:rowOff>4762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685799</xdr:colOff>
      <xdr:row>22</xdr:row>
      <xdr:rowOff>61911</xdr:rowOff>
    </xdr:from>
    <xdr:to>
      <xdr:col>15</xdr:col>
      <xdr:colOff>161924</xdr:colOff>
      <xdr:row>45</xdr:row>
      <xdr:rowOff>104774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</xdr:row>
      <xdr:rowOff>4762</xdr:rowOff>
    </xdr:from>
    <xdr:to>
      <xdr:col>13</xdr:col>
      <xdr:colOff>114300</xdr:colOff>
      <xdr:row>17</xdr:row>
      <xdr:rowOff>4762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52386</xdr:colOff>
      <xdr:row>22</xdr:row>
      <xdr:rowOff>100011</xdr:rowOff>
    </xdr:from>
    <xdr:to>
      <xdr:col>15</xdr:col>
      <xdr:colOff>38099</xdr:colOff>
      <xdr:row>43</xdr:row>
      <xdr:rowOff>142875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12"/>
  <sheetViews>
    <sheetView tabSelected="1" topLeftCell="C1" workbookViewId="0">
      <selection activeCell="M25" sqref="M25"/>
    </sheetView>
  </sheetViews>
  <sheetFormatPr defaultRowHeight="13.5" x14ac:dyDescent="0.15"/>
  <cols>
    <col min="1" max="1" width="9" style="1"/>
    <col min="3" max="3" width="12.75" bestFit="1" customWidth="1"/>
    <col min="4" max="4" width="10.125" customWidth="1"/>
    <col min="5" max="5" width="10.25" customWidth="1"/>
    <col min="6" max="6" width="9.5" bestFit="1" customWidth="1"/>
    <col min="7" max="7" width="5.125" customWidth="1"/>
    <col min="10" max="10" width="11.75" customWidth="1"/>
    <col min="14" max="14" width="9" style="1"/>
    <col min="19" max="19" width="9" style="1"/>
  </cols>
  <sheetData>
    <row r="1" spans="1:27" s="23" customFormat="1" ht="11.25" x14ac:dyDescent="0.15">
      <c r="A1" s="21" t="s">
        <v>0</v>
      </c>
      <c r="B1" s="21" t="s">
        <v>1</v>
      </c>
      <c r="C1" s="21" t="s">
        <v>2</v>
      </c>
      <c r="D1" s="22" t="s">
        <v>68</v>
      </c>
      <c r="E1" s="22" t="s">
        <v>69</v>
      </c>
      <c r="F1" s="21" t="s">
        <v>8</v>
      </c>
      <c r="H1" s="21" t="s">
        <v>62</v>
      </c>
      <c r="I1" s="24" t="s">
        <v>63</v>
      </c>
      <c r="J1" s="21" t="s">
        <v>65</v>
      </c>
      <c r="K1" s="22" t="s">
        <v>64</v>
      </c>
      <c r="L1" s="23">
        <f>SUM(K2:K18)/17</f>
        <v>3.7205882352940853</v>
      </c>
      <c r="N1" s="24" t="s">
        <v>63</v>
      </c>
      <c r="O1" s="27" t="s">
        <v>70</v>
      </c>
      <c r="Q1" s="21" t="s">
        <v>67</v>
      </c>
      <c r="R1" s="24" t="s">
        <v>0</v>
      </c>
      <c r="S1" s="28" t="s">
        <v>71</v>
      </c>
      <c r="T1" s="22" t="s">
        <v>64</v>
      </c>
      <c r="U1" s="23">
        <f>SUM(T2:T18)/17</f>
        <v>59.305294117647023</v>
      </c>
      <c r="W1" s="21" t="s">
        <v>67</v>
      </c>
      <c r="X1" s="24" t="s">
        <v>0</v>
      </c>
      <c r="Y1" s="27" t="s">
        <v>70</v>
      </c>
      <c r="Z1" s="22" t="s">
        <v>64</v>
      </c>
      <c r="AA1" s="23">
        <f>SUM(Z2:Z18)/17</f>
        <v>42.098235294117607</v>
      </c>
    </row>
    <row r="2" spans="1:27" x14ac:dyDescent="0.15">
      <c r="A2" s="2">
        <v>-20</v>
      </c>
      <c r="B2" s="3">
        <v>71.180000000000007</v>
      </c>
      <c r="C2" s="4">
        <f>1.85*B2/(B2+47)*1000000</f>
        <v>1114257.9116601795</v>
      </c>
      <c r="D2" s="11">
        <f>+ROUND((C2/1000),0)</f>
        <v>1114</v>
      </c>
      <c r="E2" s="11">
        <f>+ROUND((C2/1000+C3/1000)/2,0)</f>
        <v>1058</v>
      </c>
      <c r="F2" s="4">
        <v>1491</v>
      </c>
      <c r="G2">
        <v>1114</v>
      </c>
      <c r="H2" s="8">
        <v>1439</v>
      </c>
      <c r="I2" s="1">
        <f t="array" ref="I2">INDEX($A:$A,MAX(IF($E$2:$E$19&gt;J2,ROW($E$2:$E$19),1))+1)</f>
        <v>-20</v>
      </c>
      <c r="J2" s="17">
        <f t="shared" ref="J2:J19" si="0">ROUND(G$3+(G$2-G$3)*(H2-G$5)/(G$4-G$5),1)</f>
        <v>1114</v>
      </c>
      <c r="K2" s="14">
        <f>(J2-$D2)^2</f>
        <v>0</v>
      </c>
      <c r="M2">
        <v>1000</v>
      </c>
      <c r="N2" s="25">
        <f t="array" ref="N2">INDEX($A:$A,MAX(IF($E$2:$E$19&gt;O2,ROW($E$2:$E$19),1))+1)</f>
        <v>15</v>
      </c>
      <c r="O2" s="26">
        <f>ROUND(M$3+(M$2-M$3)*(H2-M$5)/(M$4-M$5),1)</f>
        <v>431.1</v>
      </c>
      <c r="P2">
        <v>1114</v>
      </c>
      <c r="Q2" s="18">
        <v>3668</v>
      </c>
      <c r="R2" s="1">
        <f t="array" ref="R2">INDEX($A:$A,MAX(IF($E$2:$E$19&gt;S2,ROW($E$2:$E$19),1))+1)</f>
        <v>-20</v>
      </c>
      <c r="S2" s="17">
        <f>ROUND(P$3+(P$2-P$3)*(Q2-P$5)/(P$4-P$5),1)</f>
        <v>1114</v>
      </c>
      <c r="T2" s="14">
        <f>(S2-$D2)^2</f>
        <v>0</v>
      </c>
      <c r="V2">
        <v>1000</v>
      </c>
      <c r="W2" s="18">
        <v>3668</v>
      </c>
      <c r="X2" s="1">
        <f t="array" ref="X2">INDEX($A:$A,MAX(IF($E$2:$E$19&gt;Y2,ROW($E$2:$E$19),1))+1)</f>
        <v>-20</v>
      </c>
      <c r="Y2" s="17">
        <f>ROUND(V$3+(V$2-V$3)*(W2-V$5)/(V$4-V$5),1)</f>
        <v>1112.5</v>
      </c>
      <c r="Z2" s="14">
        <f>(Y2-$D2)^2</f>
        <v>2.25</v>
      </c>
    </row>
    <row r="3" spans="1:27" x14ac:dyDescent="0.15">
      <c r="A3" s="2">
        <v>-15</v>
      </c>
      <c r="B3" s="3">
        <v>55.62</v>
      </c>
      <c r="C3" s="4">
        <f t="shared" ref="C3:C18" si="1">1.85*B3/(B3+47)*1000000</f>
        <v>1002699.2788930034</v>
      </c>
      <c r="D3" s="11">
        <f t="shared" ref="D3:D19" si="2">+ROUND((C3/1000),0)</f>
        <v>1003</v>
      </c>
      <c r="E3" s="11">
        <f t="shared" ref="D3:E19" si="3">+ROUND((C3/1000+C4/1000)/2,0)</f>
        <v>948</v>
      </c>
      <c r="F3" s="4"/>
      <c r="G3">
        <v>96</v>
      </c>
      <c r="H3">
        <v>1295</v>
      </c>
      <c r="I3" s="1">
        <f t="array" ref="I3">INDEX($A:$A,MAX(IF($E$2:$E$19&gt;J3,ROW($E$2:$E$19),1))+1)</f>
        <v>-15</v>
      </c>
      <c r="J3" s="17">
        <f t="shared" si="0"/>
        <v>1000.4</v>
      </c>
      <c r="K3" s="14">
        <f t="shared" ref="K3:K19" si="4">(J3-$D3)^2</f>
        <v>6.7600000000001179</v>
      </c>
      <c r="M3">
        <v>100</v>
      </c>
      <c r="N3" s="25">
        <f t="array" ref="N3">INDEX($A:$A,MAX(IF($E$2:$E$19&gt;O3,ROW($E$2:$E$19),1))+1)</f>
        <v>20</v>
      </c>
      <c r="O3" s="26">
        <f>ROUND(M$3+(M$2-M$3)*(H3-M$5)/(M$4-M$5),1)</f>
        <v>387.1</v>
      </c>
      <c r="P3">
        <v>96</v>
      </c>
      <c r="Q3">
        <v>3338</v>
      </c>
      <c r="R3" s="9">
        <f t="array" ref="R3">INDEX($A:$A,MAX(IF($E$2:$E$19&gt;S3,ROW($E$2:$E$19),1))+1)</f>
        <v>-15</v>
      </c>
      <c r="S3" s="17">
        <f>ROUND(P$3+(P$2-P$3)*(Q3-P$5)/(P$4-P$5),1)</f>
        <v>1013.3</v>
      </c>
      <c r="T3" s="14">
        <f>(S3-$D3)^2</f>
        <v>106.08999999999907</v>
      </c>
      <c r="V3">
        <v>100</v>
      </c>
      <c r="W3">
        <v>3338</v>
      </c>
      <c r="X3" s="9">
        <f t="array" ref="X3">INDEX($A:$A,MAX(IF($E$2:$E$19&gt;Y3,ROW($E$2:$E$19),1))+1)</f>
        <v>-15</v>
      </c>
      <c r="Y3" s="17">
        <f>ROUND(V$3+(V$2-V$3)*(W3-V$5)/(V$4-V$5),1)</f>
        <v>1011.6</v>
      </c>
      <c r="Z3" s="14">
        <f>(Y3-$D3)^2</f>
        <v>73.960000000000392</v>
      </c>
    </row>
    <row r="4" spans="1:27" x14ac:dyDescent="0.15">
      <c r="A4" s="2">
        <v>-10</v>
      </c>
      <c r="B4" s="3">
        <v>43.81</v>
      </c>
      <c r="C4" s="4">
        <f t="shared" si="1"/>
        <v>892506.331901773</v>
      </c>
      <c r="D4" s="11">
        <f t="shared" si="2"/>
        <v>893</v>
      </c>
      <c r="E4" s="11">
        <f t="shared" si="3"/>
        <v>840</v>
      </c>
      <c r="F4" s="4"/>
      <c r="G4">
        <v>1439</v>
      </c>
      <c r="H4">
        <v>1159</v>
      </c>
      <c r="I4" s="1">
        <f t="array" ref="I4">INDEX($A:$A,MAX(IF($E$2:$E$19&gt;J4,ROW($E$2:$E$19),1))+1)</f>
        <v>-10</v>
      </c>
      <c r="J4" s="17">
        <f t="shared" si="0"/>
        <v>893</v>
      </c>
      <c r="K4" s="14">
        <f t="shared" si="4"/>
        <v>0</v>
      </c>
      <c r="M4">
        <v>3300</v>
      </c>
      <c r="N4" s="25">
        <f t="array" ref="N4">INDEX($A:$A,MAX(IF($E$2:$E$19&gt;O4,ROW($E$2:$E$19),1))+1)</f>
        <v>25</v>
      </c>
      <c r="O4" s="26">
        <f>ROUND(M$3+(M$2-M$3)*(H4-M$5)/(M$4-M$5),1)</f>
        <v>345.5</v>
      </c>
      <c r="P4">
        <v>3668</v>
      </c>
      <c r="Q4">
        <v>3004</v>
      </c>
      <c r="R4" s="1">
        <f t="array" ref="R4">INDEX($A:$A,MAX(IF($E$2:$E$19&gt;S4,ROW($E$2:$E$19),1))+1)</f>
        <v>-10</v>
      </c>
      <c r="S4" s="17">
        <f>ROUND(P$3+(P$2-P$3)*(Q4-P$5)/(P$4-P$5),1)</f>
        <v>911.4</v>
      </c>
      <c r="T4" s="14">
        <f>(S4-$D4)^2</f>
        <v>338.55999999999915</v>
      </c>
      <c r="V4">
        <v>3300</v>
      </c>
      <c r="W4">
        <v>3004</v>
      </c>
      <c r="X4" s="1">
        <f t="array" ref="X4">INDEX($A:$A,MAX(IF($E$2:$E$19&gt;Y4,ROW($E$2:$E$19),1))+1)</f>
        <v>-10</v>
      </c>
      <c r="Y4" s="17">
        <f>ROUND(V$3+(V$2-V$3)*(W4-V$5)/(V$4-V$5),1)</f>
        <v>909.5</v>
      </c>
      <c r="Z4" s="14">
        <f>(Y4-$D4)^2</f>
        <v>272.25</v>
      </c>
    </row>
    <row r="5" spans="1:27" x14ac:dyDescent="0.15">
      <c r="A5" s="2">
        <v>-5</v>
      </c>
      <c r="B5" s="3">
        <v>34.770000000000003</v>
      </c>
      <c r="C5" s="4">
        <f t="shared" si="1"/>
        <v>786651.58371040737</v>
      </c>
      <c r="D5" s="11">
        <f t="shared" si="2"/>
        <v>787</v>
      </c>
      <c r="E5" s="11">
        <f t="shared" si="3"/>
        <v>737</v>
      </c>
      <c r="F5" s="4"/>
      <c r="G5">
        <v>149</v>
      </c>
      <c r="H5">
        <v>1021</v>
      </c>
      <c r="I5" s="9">
        <f t="array" ref="I5">INDEX($A:$A,MAX(IF($E$2:$E$19&gt;J5,ROW($E$2:$E$19),1))+1)</f>
        <v>-5</v>
      </c>
      <c r="J5" s="17">
        <f t="shared" si="0"/>
        <v>784.1</v>
      </c>
      <c r="K5" s="14">
        <f t="shared" si="4"/>
        <v>8.4099999999998687</v>
      </c>
      <c r="M5">
        <v>356</v>
      </c>
      <c r="N5" s="9">
        <f t="array" ref="N5">INDEX($A:$A,MAX(IF($E$2:$E$19&gt;O5,ROW($E$2:$E$19),1))+1)</f>
        <v>25</v>
      </c>
      <c r="O5" s="17">
        <f>ROUND(M$3+(M$2-M$3)*(H5-M$5)/(M$4-M$5),1)</f>
        <v>303.3</v>
      </c>
      <c r="P5">
        <v>332</v>
      </c>
      <c r="Q5" s="19">
        <v>2644</v>
      </c>
      <c r="R5" s="9">
        <f t="array" ref="R5">INDEX($A:$A,MAX(IF($E$2:$E$19&gt;S5,ROW($E$2:$E$19),1))+1)</f>
        <v>-5</v>
      </c>
      <c r="S5" s="17">
        <f>ROUND(P$3+(P$2-P$3)*(Q5-P$5)/(P$4-P$5),1)</f>
        <v>801.5</v>
      </c>
      <c r="T5" s="14">
        <f>(S5-$D5)^2</f>
        <v>210.25</v>
      </c>
      <c r="V5">
        <v>356</v>
      </c>
      <c r="W5" s="19">
        <v>2644</v>
      </c>
      <c r="X5" s="9">
        <f t="array" ref="X5">INDEX($A:$A,MAX(IF($E$2:$E$19&gt;Y5,ROW($E$2:$E$19),1))+1)</f>
        <v>-5</v>
      </c>
      <c r="Y5" s="17">
        <f>ROUND(V$3+(V$2-V$3)*(W5-V$5)/(V$4-V$5),1)</f>
        <v>799.5</v>
      </c>
      <c r="Z5" s="14">
        <f>(Y5-$D5)^2</f>
        <v>156.25</v>
      </c>
    </row>
    <row r="6" spans="1:27" x14ac:dyDescent="0.15">
      <c r="A6" s="2">
        <v>0</v>
      </c>
      <c r="B6" s="3">
        <v>27.8</v>
      </c>
      <c r="C6" s="4">
        <f t="shared" si="1"/>
        <v>687566.84491978621</v>
      </c>
      <c r="D6" s="11">
        <f t="shared" si="2"/>
        <v>688</v>
      </c>
      <c r="E6" s="11">
        <f t="shared" si="3"/>
        <v>642</v>
      </c>
      <c r="F6" s="4">
        <v>950</v>
      </c>
      <c r="H6" s="8">
        <v>898</v>
      </c>
      <c r="I6" s="1">
        <f t="array" ref="I6">INDEX($A:$A,MAX(IF($E$2:$E$19&gt;J6,ROW($E$2:$E$19),1))+1)</f>
        <v>0</v>
      </c>
      <c r="J6" s="17">
        <f t="shared" si="0"/>
        <v>687.1</v>
      </c>
      <c r="K6" s="14">
        <f t="shared" si="4"/>
        <v>0.80999999999995909</v>
      </c>
      <c r="N6" s="25">
        <f t="array" ref="N6">INDEX($A:$A,MAX(IF($E$2:$E$19&gt;O6,ROW($E$2:$E$19),1))+1)</f>
        <v>30</v>
      </c>
      <c r="O6" s="25">
        <f>ROUND(M$3+(M$2-M$3)*(H6-M$5)/(M$4-M$5),1)</f>
        <v>265.7</v>
      </c>
      <c r="Q6" s="20">
        <v>2278</v>
      </c>
      <c r="R6" s="1">
        <f t="array" ref="R6">INDEX($A:$A,MAX(IF($E$2:$E$19&gt;S6,ROW($E$2:$E$19),1))+1)</f>
        <v>0</v>
      </c>
      <c r="S6" s="17">
        <f>ROUND(P$3+(P$2-P$3)*(Q6-P$5)/(P$4-P$5),1)</f>
        <v>689.8</v>
      </c>
      <c r="T6" s="14">
        <f>(S6-$D6)^2</f>
        <v>3.2399999999998363</v>
      </c>
      <c r="W6" s="20">
        <v>2278</v>
      </c>
      <c r="X6" s="1">
        <f t="array" ref="X6">INDEX($A:$A,MAX(IF($E$2:$E$19&gt;Y6,ROW($E$2:$E$19),1))+1)</f>
        <v>0</v>
      </c>
      <c r="Y6" s="17">
        <f>ROUND(V$3+(V$2-V$3)*(W6-V$5)/(V$4-V$5),1)</f>
        <v>687.6</v>
      </c>
      <c r="Z6" s="14">
        <f>(Y6-$D6)^2</f>
        <v>0.15999999999998182</v>
      </c>
    </row>
    <row r="7" spans="1:27" x14ac:dyDescent="0.15">
      <c r="A7" s="2">
        <v>5</v>
      </c>
      <c r="B7" s="3">
        <v>22.37</v>
      </c>
      <c r="C7" s="4">
        <f t="shared" si="1"/>
        <v>596576.3298255729</v>
      </c>
      <c r="D7" s="11">
        <f t="shared" si="2"/>
        <v>597</v>
      </c>
      <c r="E7" s="11">
        <f t="shared" si="3"/>
        <v>556</v>
      </c>
      <c r="F7" s="4"/>
      <c r="H7">
        <v>779</v>
      </c>
      <c r="I7" s="1">
        <f t="array" ref="I7">INDEX($A:$A,MAX(IF($E$2:$E$19&gt;J7,ROW($E$2:$E$19),1))+1)</f>
        <v>5</v>
      </c>
      <c r="J7" s="17">
        <f t="shared" si="0"/>
        <v>593.20000000000005</v>
      </c>
      <c r="K7" s="14">
        <f t="shared" si="4"/>
        <v>14.439999999999655</v>
      </c>
      <c r="N7" s="25">
        <f t="array" ref="N7">INDEX($A:$A,MAX(IF($E$2:$E$19&gt;O7,ROW($E$2:$E$19),1))+1)</f>
        <v>35</v>
      </c>
      <c r="O7" s="25">
        <f>ROUND(M$3+(M$2-M$3)*(H7-M$5)/(M$4-M$5),1)</f>
        <v>229.3</v>
      </c>
      <c r="Q7">
        <v>2012</v>
      </c>
      <c r="R7" s="1">
        <f t="array" ref="R7">INDEX($A:$A,MAX(IF($E$2:$E$19&gt;S7,ROW($E$2:$E$19),1))+1)</f>
        <v>5</v>
      </c>
      <c r="S7" s="17">
        <f>ROUND(P$3+(P$2-P$3)*(Q7-P$5)/(P$4-P$5),1)</f>
        <v>608.70000000000005</v>
      </c>
      <c r="T7" s="14">
        <f>(S7-$D7)^2</f>
        <v>136.89000000000107</v>
      </c>
      <c r="W7">
        <v>2012</v>
      </c>
      <c r="X7" s="1">
        <f t="array" ref="X7">INDEX($A:$A,MAX(IF($E$2:$E$19&gt;Y7,ROW($E$2:$E$19),1))+1)</f>
        <v>5</v>
      </c>
      <c r="Y7" s="17">
        <f>ROUND(V$3+(V$2-V$3)*(W7-V$5)/(V$4-V$5),1)</f>
        <v>606.29999999999995</v>
      </c>
      <c r="Z7" s="14">
        <f>(Y7-$D7)^2</f>
        <v>86.489999999999156</v>
      </c>
    </row>
    <row r="8" spans="1:27" x14ac:dyDescent="0.15">
      <c r="A8" s="2">
        <v>10</v>
      </c>
      <c r="B8" s="3">
        <v>18.13</v>
      </c>
      <c r="C8" s="4">
        <f t="shared" si="1"/>
        <v>514977.73683402437</v>
      </c>
      <c r="D8" s="11">
        <f t="shared" si="2"/>
        <v>515</v>
      </c>
      <c r="E8" s="11">
        <f t="shared" si="3"/>
        <v>479</v>
      </c>
      <c r="F8" s="4"/>
      <c r="H8">
        <v>680</v>
      </c>
      <c r="I8" s="1">
        <f t="array" ref="I8">INDEX($A:$A,MAX(IF($E$2:$E$19&gt;J8,ROW($E$2:$E$19),1))+1)</f>
        <v>10</v>
      </c>
      <c r="J8" s="17">
        <f t="shared" si="0"/>
        <v>515</v>
      </c>
      <c r="K8" s="14">
        <f t="shared" si="4"/>
        <v>0</v>
      </c>
      <c r="N8" s="25">
        <f t="array" ref="N8">INDEX($A:$A,MAX(IF($E$2:$E$19&gt;O8,ROW($E$2:$E$19),1))+1)</f>
        <v>40</v>
      </c>
      <c r="O8" s="25">
        <f>ROUND(M$3+(M$2-M$3)*(H8-M$5)/(M$4-M$5),1)</f>
        <v>199</v>
      </c>
      <c r="Q8">
        <v>1714</v>
      </c>
      <c r="R8" s="1">
        <f t="array" ref="R8">INDEX($A:$A,MAX(IF($E$2:$E$19&gt;S8,ROW($E$2:$E$19),1))+1)</f>
        <v>10</v>
      </c>
      <c r="S8" s="17">
        <f>ROUND(P$3+(P$2-P$3)*(Q8-P$5)/(P$4-P$5),1)</f>
        <v>517.70000000000005</v>
      </c>
      <c r="T8" s="14">
        <f>(S8-$D8)^2</f>
        <v>7.2900000000002452</v>
      </c>
      <c r="W8">
        <v>1714</v>
      </c>
      <c r="X8" s="1">
        <f t="array" ref="X8">INDEX($A:$A,MAX(IF($E$2:$E$19&gt;Y8,ROW($E$2:$E$19),1))+1)</f>
        <v>10</v>
      </c>
      <c r="Y8" s="17">
        <f>ROUND(V$3+(V$2-V$3)*(W8-V$5)/(V$4-V$5),1)</f>
        <v>515.1</v>
      </c>
      <c r="Z8" s="14">
        <f>(Y8-$D8)^2</f>
        <v>1.0000000000004547E-2</v>
      </c>
    </row>
    <row r="9" spans="1:27" x14ac:dyDescent="0.15">
      <c r="A9" s="2">
        <v>15</v>
      </c>
      <c r="B9" s="3">
        <v>14.78</v>
      </c>
      <c r="C9" s="4">
        <f t="shared" si="1"/>
        <v>442586.59760440275</v>
      </c>
      <c r="D9" s="11">
        <f t="shared" si="2"/>
        <v>443</v>
      </c>
      <c r="E9" s="11">
        <f t="shared" si="3"/>
        <v>411</v>
      </c>
      <c r="F9" s="4"/>
      <c r="H9">
        <v>588</v>
      </c>
      <c r="I9" s="1">
        <f t="array" ref="I9">INDEX($A:$A,MAX(IF($E$2:$E$19&gt;J9,ROW($E$2:$E$19),1))+1)</f>
        <v>15</v>
      </c>
      <c r="J9" s="8">
        <f t="shared" si="0"/>
        <v>442.4</v>
      </c>
      <c r="K9" s="14">
        <f t="shared" si="4"/>
        <v>0.3600000000000273</v>
      </c>
      <c r="N9" s="25">
        <f t="array" ref="N9">INDEX($A:$A,MAX(IF($E$2:$E$19&gt;O9,ROW($E$2:$E$19),1))+1)</f>
        <v>45</v>
      </c>
      <c r="O9" s="25">
        <f>ROUND(M$3+(M$2-M$3)*(H9-M$5)/(M$4-M$5),1)</f>
        <v>170.9</v>
      </c>
      <c r="Q9" s="20">
        <v>1486</v>
      </c>
      <c r="R9" s="1">
        <f t="array" ref="R9">INDEX($A:$A,MAX(IF($E$2:$E$19&gt;S9,ROW($E$2:$E$19),1))+1)</f>
        <v>15</v>
      </c>
      <c r="S9" s="17">
        <f>ROUND(P$3+(P$2-P$3)*(Q9-P$5)/(P$4-P$5),1)</f>
        <v>448.1</v>
      </c>
      <c r="T9" s="14">
        <f>(S9-$D9)^2</f>
        <v>26.010000000000232</v>
      </c>
      <c r="W9" s="20">
        <v>1486</v>
      </c>
      <c r="X9" s="1">
        <f t="array" ref="X9">INDEX($A:$A,MAX(IF($E$2:$E$19&gt;Y9,ROW($E$2:$E$19),1))+1)</f>
        <v>15</v>
      </c>
      <c r="Y9" s="17">
        <f>ROUND(V$3+(V$2-V$3)*(W9-V$5)/(V$4-V$5),1)</f>
        <v>445.4</v>
      </c>
      <c r="Z9" s="14">
        <f>(Y9-$D9)^2</f>
        <v>5.7599999999998905</v>
      </c>
    </row>
    <row r="10" spans="1:27" x14ac:dyDescent="0.15">
      <c r="A10" s="2">
        <v>20</v>
      </c>
      <c r="B10" s="3">
        <v>12.12</v>
      </c>
      <c r="C10" s="4">
        <f t="shared" si="1"/>
        <v>379262.51691474969</v>
      </c>
      <c r="D10" s="11">
        <f t="shared" si="2"/>
        <v>379</v>
      </c>
      <c r="E10" s="11">
        <f t="shared" si="3"/>
        <v>352</v>
      </c>
      <c r="F10" s="4"/>
      <c r="H10" s="8">
        <v>507</v>
      </c>
      <c r="I10" s="1">
        <f t="array" ref="I10">INDEX($A:$A,MAX(IF($E$2:$E$19&gt;J10,ROW($E$2:$E$19),1))+1)</f>
        <v>20</v>
      </c>
      <c r="J10" s="17">
        <f t="shared" si="0"/>
        <v>378.5</v>
      </c>
      <c r="K10" s="14">
        <f t="shared" si="4"/>
        <v>0.25</v>
      </c>
      <c r="N10" s="25">
        <f t="array" ref="N10">INDEX($A:$A,MAX(IF($E$2:$E$19&gt;O10,ROW($E$2:$E$19),1))+1)</f>
        <v>50</v>
      </c>
      <c r="O10" s="25">
        <f>ROUND(M$3+(M$2-M$3)*(H10-M$5)/(M$4-M$5),1)</f>
        <v>146.19999999999999</v>
      </c>
      <c r="Q10" s="8">
        <v>1280</v>
      </c>
      <c r="R10" s="1">
        <f t="array" ref="R10">INDEX($A:$A,MAX(IF($E$2:$E$19&gt;S10,ROW($E$2:$E$19),1))+1)</f>
        <v>20</v>
      </c>
      <c r="S10" s="17">
        <f>ROUND(P$3+(P$2-P$3)*(Q10-P$5)/(P$4-P$5),1)</f>
        <v>385.3</v>
      </c>
      <c r="T10" s="14">
        <f>(S10-$D10)^2</f>
        <v>39.69000000000014</v>
      </c>
      <c r="W10" s="8">
        <v>1280</v>
      </c>
      <c r="X10" s="1">
        <f t="array" ref="X10">INDEX($A:$A,MAX(IF($E$2:$E$19&gt;Y10,ROW($E$2:$E$19),1))+1)</f>
        <v>20</v>
      </c>
      <c r="Y10" s="17">
        <f>ROUND(V$3+(V$2-V$3)*(W10-V$5)/(V$4-V$5),1)</f>
        <v>382.5</v>
      </c>
      <c r="Z10" s="14">
        <f>(Y10-$D10)^2</f>
        <v>12.25</v>
      </c>
    </row>
    <row r="11" spans="1:27" x14ac:dyDescent="0.15">
      <c r="A11" s="2">
        <v>25</v>
      </c>
      <c r="B11" s="3">
        <v>10</v>
      </c>
      <c r="C11" s="4">
        <f t="shared" si="1"/>
        <v>324561.40350877197</v>
      </c>
      <c r="D11" s="11">
        <f t="shared" si="2"/>
        <v>325</v>
      </c>
      <c r="E11" s="11">
        <f t="shared" si="3"/>
        <v>301</v>
      </c>
      <c r="F11" s="4"/>
      <c r="H11">
        <v>437</v>
      </c>
      <c r="I11" s="1">
        <f t="array" ref="I11">INDEX($A:$A,MAX(IF($E$2:$E$19&gt;J11,ROW($E$2:$E$19),1))+1)</f>
        <v>25</v>
      </c>
      <c r="J11" s="17">
        <f t="shared" si="0"/>
        <v>323.3</v>
      </c>
      <c r="K11" s="14">
        <f t="shared" si="4"/>
        <v>2.8899999999999615</v>
      </c>
      <c r="N11" s="25">
        <f t="array" ref="N11">INDEX($A:$A,MAX(IF($E$2:$E$19&gt;O11,ROW($E$2:$E$19),1))+1)</f>
        <v>55</v>
      </c>
      <c r="O11" s="25">
        <f>ROUND(M$3+(M$2-M$3)*(H11-M$5)/(M$4-M$5),1)</f>
        <v>124.8</v>
      </c>
      <c r="Q11">
        <v>1084</v>
      </c>
      <c r="R11" s="9">
        <f t="array" ref="R11">INDEX($A:$A,MAX(IF($E$2:$E$19&gt;S11,ROW($E$2:$E$19),1))+1)</f>
        <v>25</v>
      </c>
      <c r="S11" s="17">
        <f>ROUND(P$3+(P$2-P$3)*(Q11-P$5)/(P$4-P$5),1)</f>
        <v>325.5</v>
      </c>
      <c r="T11" s="14">
        <f>(S11-$D11)^2</f>
        <v>0.25</v>
      </c>
      <c r="W11">
        <v>1084</v>
      </c>
      <c r="X11" s="9">
        <f t="array" ref="X11">INDEX($A:$A,MAX(IF($E$2:$E$19&gt;Y11,ROW($E$2:$E$19),1))+1)</f>
        <v>25</v>
      </c>
      <c r="Y11" s="17">
        <f>ROUND(V$3+(V$2-V$3)*(W11-V$5)/(V$4-V$5),1)</f>
        <v>322.60000000000002</v>
      </c>
      <c r="Z11" s="14">
        <f>(Y11-$D11)^2</f>
        <v>5.7599999999998905</v>
      </c>
    </row>
    <row r="12" spans="1:27" x14ac:dyDescent="0.15">
      <c r="A12" s="2">
        <v>30</v>
      </c>
      <c r="B12" s="3">
        <v>8.3000000000000007</v>
      </c>
      <c r="C12" s="4">
        <f t="shared" si="1"/>
        <v>277667.26943942136</v>
      </c>
      <c r="D12" s="11">
        <f t="shared" si="2"/>
        <v>278</v>
      </c>
      <c r="E12" s="11">
        <f t="shared" si="3"/>
        <v>258</v>
      </c>
      <c r="F12" s="4"/>
      <c r="H12">
        <v>380</v>
      </c>
      <c r="I12" s="1">
        <f t="array" ref="I12">INDEX($A:$A,MAX(IF($E$2:$E$19&gt;J12,ROW($E$2:$E$19),1))+1)</f>
        <v>30</v>
      </c>
      <c r="J12" s="17">
        <f t="shared" si="0"/>
        <v>278.3</v>
      </c>
      <c r="K12" s="14">
        <f t="shared" si="4"/>
        <v>9.0000000000006825E-2</v>
      </c>
      <c r="N12" s="25">
        <f t="array" ref="N12">INDEX($A:$A,MAX(IF($E$2:$E$19&gt;O12,ROW($E$2:$E$19),1))+1)</f>
        <v>60</v>
      </c>
      <c r="O12" s="25">
        <f>ROUND(M$3+(M$2-M$3)*(H12-M$5)/(M$4-M$5),1)</f>
        <v>107.3</v>
      </c>
      <c r="Q12">
        <v>916</v>
      </c>
      <c r="R12" s="1">
        <f t="array" ref="R12">INDEX($A:$A,MAX(IF($E$2:$E$19&gt;S12,ROW($E$2:$E$19),1))+1)</f>
        <v>30</v>
      </c>
      <c r="S12" s="17">
        <f>ROUND(P$3+(P$2-P$3)*(Q12-P$5)/(P$4-P$5),1)</f>
        <v>274.2</v>
      </c>
      <c r="T12" s="14">
        <f>(S12-$D12)^2</f>
        <v>14.440000000000087</v>
      </c>
      <c r="W12">
        <v>916</v>
      </c>
      <c r="X12" s="1">
        <f t="array" ref="X12">INDEX($A:$A,MAX(IF($E$2:$E$19&gt;Y12,ROW($E$2:$E$19),1))+1)</f>
        <v>30</v>
      </c>
      <c r="Y12" s="17">
        <f>ROUND(V$3+(V$2-V$3)*(W12-V$5)/(V$4-V$5),1)</f>
        <v>271.2</v>
      </c>
      <c r="Z12" s="14">
        <f>(Y12-$D12)^2</f>
        <v>46.240000000000151</v>
      </c>
    </row>
    <row r="13" spans="1:27" x14ac:dyDescent="0.15">
      <c r="A13" s="2">
        <v>35</v>
      </c>
      <c r="B13" s="3">
        <v>6.92</v>
      </c>
      <c r="C13" s="4">
        <f t="shared" si="1"/>
        <v>237425.81602373885</v>
      </c>
      <c r="D13" s="11">
        <f t="shared" si="2"/>
        <v>237</v>
      </c>
      <c r="E13" s="11">
        <f t="shared" si="3"/>
        <v>220</v>
      </c>
      <c r="F13" s="4"/>
      <c r="H13">
        <v>327</v>
      </c>
      <c r="I13" s="1">
        <f t="array" ref="I13">INDEX($A:$A,MAX(IF($E$2:$E$19&gt;J13,ROW($E$2:$E$19),1))+1)</f>
        <v>35</v>
      </c>
      <c r="J13" s="17">
        <f t="shared" si="0"/>
        <v>236.5</v>
      </c>
      <c r="K13" s="14">
        <f t="shared" si="4"/>
        <v>0.25</v>
      </c>
      <c r="N13" s="25">
        <f t="array" ref="N13">INDEX($A:$A,MAX(IF($E$2:$E$19&gt;O13,ROW($E$2:$E$19),1))+1)</f>
        <v>65</v>
      </c>
      <c r="O13" s="25">
        <f>ROUND(M$3+(M$2-M$3)*(H13-M$5)/(M$4-M$5),1)</f>
        <v>91.1</v>
      </c>
      <c r="Q13">
        <v>784</v>
      </c>
      <c r="R13" s="1">
        <f t="array" ref="R13">INDEX($A:$A,MAX(IF($E$2:$E$19&gt;S13,ROW($E$2:$E$19),1))+1)</f>
        <v>35</v>
      </c>
      <c r="S13" s="17">
        <f>ROUND(P$3+(P$2-P$3)*(Q13-P$5)/(P$4-P$5),1)</f>
        <v>233.9</v>
      </c>
      <c r="T13" s="14">
        <f>(S13-$D13)^2</f>
        <v>9.6099999999999639</v>
      </c>
      <c r="W13">
        <v>784</v>
      </c>
      <c r="X13" s="1">
        <f t="array" ref="X13">INDEX($A:$A,MAX(IF($E$2:$E$19&gt;Y13,ROW($E$2:$E$19),1))+1)</f>
        <v>35</v>
      </c>
      <c r="Y13" s="17">
        <f>ROUND(V$3+(V$2-V$3)*(W13-V$5)/(V$4-V$5),1)</f>
        <v>230.8</v>
      </c>
      <c r="Z13" s="14">
        <f>(Y13-$D13)^2</f>
        <v>38.439999999999856</v>
      </c>
    </row>
    <row r="14" spans="1:27" x14ac:dyDescent="0.15">
      <c r="A14" s="2">
        <v>40</v>
      </c>
      <c r="B14" s="3">
        <v>5.8</v>
      </c>
      <c r="C14" s="4">
        <f t="shared" si="1"/>
        <v>203219.69696969699</v>
      </c>
      <c r="D14" s="11">
        <f t="shared" si="2"/>
        <v>203</v>
      </c>
      <c r="E14" s="11">
        <f t="shared" si="3"/>
        <v>189</v>
      </c>
      <c r="F14" s="4"/>
      <c r="H14">
        <v>278</v>
      </c>
      <c r="I14" s="9">
        <f t="array" ref="I14">INDEX($A:$A,MAX(IF($E$2:$E$19&gt;J14,ROW($E$2:$E$19),1))+1)</f>
        <v>40</v>
      </c>
      <c r="J14" s="17">
        <f t="shared" si="0"/>
        <v>197.8</v>
      </c>
      <c r="K14" s="14">
        <f t="shared" si="4"/>
        <v>27.039999999999882</v>
      </c>
      <c r="N14" s="9">
        <f t="array" ref="N14">INDEX($A:$A,MAX(IF($E$2:$E$19&gt;O14,ROW($E$2:$E$19),1))+1)</f>
        <v>65</v>
      </c>
      <c r="O14" s="17">
        <f>ROUND(M$3+(M$2-M$3)*(H14-M$5)/(M$4-M$5),1)</f>
        <v>76.2</v>
      </c>
      <c r="Q14">
        <v>696</v>
      </c>
      <c r="R14" s="9">
        <f t="array" ref="R14">INDEX($A:$A,MAX(IF($E$2:$E$19&gt;S14,ROW($E$2:$E$19),1))+1)</f>
        <v>40</v>
      </c>
      <c r="S14" s="17">
        <f>ROUND(P$3+(P$2-P$3)*(Q14-P$5)/(P$4-P$5),1)</f>
        <v>207.1</v>
      </c>
      <c r="T14" s="14">
        <f>(S14-$D14)^2</f>
        <v>16.809999999999953</v>
      </c>
      <c r="W14">
        <v>696</v>
      </c>
      <c r="X14" s="9">
        <f t="array" ref="X14">INDEX($A:$A,MAX(IF($E$2:$E$19&gt;Y14,ROW($E$2:$E$19),1))+1)</f>
        <v>40</v>
      </c>
      <c r="Y14" s="17">
        <f>ROUND(V$3+(V$2-V$3)*(W14-V$5)/(V$4-V$5),1)</f>
        <v>203.9</v>
      </c>
      <c r="Z14" s="14">
        <f>(Y14-$D14)^2</f>
        <v>0.81000000000001027</v>
      </c>
    </row>
    <row r="15" spans="1:27" x14ac:dyDescent="0.15">
      <c r="A15" s="2">
        <v>45</v>
      </c>
      <c r="B15" s="3">
        <v>4.88</v>
      </c>
      <c r="C15" s="4">
        <f t="shared" si="1"/>
        <v>174016.96222050887</v>
      </c>
      <c r="D15" s="11">
        <f t="shared" si="2"/>
        <v>174</v>
      </c>
      <c r="E15" s="11">
        <f t="shared" si="3"/>
        <v>162</v>
      </c>
      <c r="F15" s="4">
        <v>288</v>
      </c>
      <c r="H15">
        <v>247</v>
      </c>
      <c r="I15" s="9">
        <f t="array" ref="I15">INDEX($A:$A,MAX(IF($E$2:$E$19&gt;J15,ROW($E$2:$E$19),1))+1)</f>
        <v>45</v>
      </c>
      <c r="J15" s="17">
        <f t="shared" si="0"/>
        <v>173.3</v>
      </c>
      <c r="K15" s="14">
        <f t="shared" si="4"/>
        <v>0.48999999999998406</v>
      </c>
      <c r="N15" s="9">
        <f t="array" ref="N15">INDEX($A:$A,MAX(IF($E$2:$E$19&gt;O15,ROW($E$2:$E$19),1))+1)</f>
        <v>65</v>
      </c>
      <c r="O15" s="17">
        <f>ROUND(M$3+(M$2-M$3)*(H15-M$5)/(M$4-M$5),1)</f>
        <v>66.7</v>
      </c>
      <c r="Q15">
        <v>598</v>
      </c>
      <c r="R15" s="9">
        <f t="array" ref="R15">INDEX($A:$A,MAX(IF($E$2:$E$19&gt;S15,ROW($E$2:$E$19),1))+1)</f>
        <v>45</v>
      </c>
      <c r="S15" s="17">
        <f>ROUND(P$3+(P$2-P$3)*(Q15-P$5)/(P$4-P$5),1)</f>
        <v>177.2</v>
      </c>
      <c r="T15" s="14">
        <f>(S15-$D15)^2</f>
        <v>10.239999999999927</v>
      </c>
      <c r="W15">
        <v>598</v>
      </c>
      <c r="X15" s="9">
        <f t="array" ref="X15">INDEX($A:$A,MAX(IF($E$2:$E$19&gt;Y15,ROW($E$2:$E$19),1))+1)</f>
        <v>45</v>
      </c>
      <c r="Y15" s="17">
        <f>ROUND(V$3+(V$2-V$3)*(W15-V$5)/(V$4-V$5),1)</f>
        <v>174</v>
      </c>
      <c r="Z15" s="14">
        <f>(Y15-$D15)^2</f>
        <v>0</v>
      </c>
    </row>
    <row r="16" spans="1:27" x14ac:dyDescent="0.15">
      <c r="A16" s="2">
        <v>50</v>
      </c>
      <c r="B16" s="3">
        <v>4.13</v>
      </c>
      <c r="C16" s="4">
        <f t="shared" si="1"/>
        <v>149432.81830627812</v>
      </c>
      <c r="D16" s="11">
        <f t="shared" si="2"/>
        <v>149</v>
      </c>
      <c r="E16" s="11">
        <f t="shared" si="3"/>
        <v>139</v>
      </c>
      <c r="F16" s="4"/>
      <c r="H16">
        <v>216</v>
      </c>
      <c r="I16" s="1">
        <f t="array" ref="I16">INDEX($A:$A,MAX(IF($E$2:$E$19&gt;J16,ROW($E$2:$E$19),1))+1)</f>
        <v>50</v>
      </c>
      <c r="J16" s="17">
        <f t="shared" si="0"/>
        <v>148.9</v>
      </c>
      <c r="K16" s="14">
        <f t="shared" si="4"/>
        <v>9.999999999998864E-3</v>
      </c>
      <c r="N16" s="25">
        <f t="array" ref="N16">INDEX($A:$A,MAX(IF($E$2:$E$19&gt;O16,ROW($E$2:$E$19),1))+1)</f>
        <v>65</v>
      </c>
      <c r="O16" s="25">
        <f>ROUND(M$3+(M$2-M$3)*(H16-M$5)/(M$4-M$5),1)</f>
        <v>57.2</v>
      </c>
      <c r="Q16">
        <v>524</v>
      </c>
      <c r="R16" s="1">
        <f t="array" ref="R16">INDEX($A:$A,MAX(IF($E$2:$E$19&gt;S16,ROW($E$2:$E$19),1))+1)</f>
        <v>50</v>
      </c>
      <c r="S16" s="17">
        <f>ROUND(P$3+(P$2-P$3)*(Q16-P$5)/(P$4-P$5),1)</f>
        <v>154.6</v>
      </c>
      <c r="T16" s="14">
        <f>(S16-$D16)^2</f>
        <v>31.359999999999935</v>
      </c>
      <c r="W16">
        <v>524</v>
      </c>
      <c r="X16" s="1">
        <f t="array" ref="X16">INDEX($A:$A,MAX(IF($E$2:$E$19&gt;Y16,ROW($E$2:$E$19),1))+1)</f>
        <v>50</v>
      </c>
      <c r="Y16" s="17">
        <f>ROUND(V$3+(V$2-V$3)*(W16-V$5)/(V$4-V$5),1)</f>
        <v>151.4</v>
      </c>
      <c r="Z16" s="14">
        <f>(Y16-$D16)^2</f>
        <v>5.7600000000000273</v>
      </c>
    </row>
    <row r="17" spans="1:26" x14ac:dyDescent="0.15">
      <c r="A17" s="2">
        <v>55</v>
      </c>
      <c r="B17" s="3">
        <v>3.51</v>
      </c>
      <c r="C17" s="4">
        <f t="shared" si="1"/>
        <v>128558.70124727779</v>
      </c>
      <c r="D17" s="11">
        <f t="shared" si="2"/>
        <v>129</v>
      </c>
      <c r="E17" s="11">
        <f t="shared" si="3"/>
        <v>120</v>
      </c>
      <c r="F17" s="4"/>
      <c r="H17">
        <v>192</v>
      </c>
      <c r="I17" s="1">
        <f t="array" ref="I17">INDEX($A:$A,MAX(IF($E$2:$E$19&gt;J17,ROW($E$2:$E$19),1))+1)</f>
        <v>55</v>
      </c>
      <c r="J17" s="17">
        <f t="shared" si="0"/>
        <v>129.9</v>
      </c>
      <c r="K17" s="14">
        <f t="shared" si="4"/>
        <v>0.81000000000001027</v>
      </c>
      <c r="N17" s="25">
        <f t="array" ref="N17">INDEX($A:$A,MAX(IF($E$2:$E$19&gt;O17,ROW($E$2:$E$19),1))+1)</f>
        <v>65</v>
      </c>
      <c r="O17" s="25">
        <f>ROUND(M$3+(M$2-M$3)*(H17-M$5)/(M$4-M$5),1)</f>
        <v>49.9</v>
      </c>
      <c r="Q17">
        <v>460</v>
      </c>
      <c r="R17" s="1">
        <f t="array" ref="R17">INDEX($A:$A,MAX(IF($E$2:$E$19&gt;S17,ROW($E$2:$E$19),1))+1)</f>
        <v>55</v>
      </c>
      <c r="S17" s="17">
        <f>ROUND(P$3+(P$2-P$3)*(Q17-P$5)/(P$4-P$5),1)</f>
        <v>135.1</v>
      </c>
      <c r="T17" s="14">
        <f>(S17-$D17)^2</f>
        <v>37.20999999999993</v>
      </c>
      <c r="W17">
        <v>460</v>
      </c>
      <c r="X17" s="1">
        <f t="array" ref="X17">INDEX($A:$A,MAX(IF($E$2:$E$19&gt;Y17,ROW($E$2:$E$19),1))+1)</f>
        <v>55</v>
      </c>
      <c r="Y17" s="17">
        <f>ROUND(V$3+(V$2-V$3)*(W17-V$5)/(V$4-V$5),1)</f>
        <v>131.80000000000001</v>
      </c>
      <c r="Z17" s="14">
        <f>(Y17-$D17)^2</f>
        <v>7.8400000000000638</v>
      </c>
    </row>
    <row r="18" spans="1:26" x14ac:dyDescent="0.15">
      <c r="A18" s="2">
        <v>60</v>
      </c>
      <c r="B18" s="3">
        <v>3</v>
      </c>
      <c r="C18" s="4">
        <f t="shared" si="1"/>
        <v>111000.00000000001</v>
      </c>
      <c r="D18" s="11">
        <f t="shared" si="2"/>
        <v>111</v>
      </c>
      <c r="E18" s="11">
        <f t="shared" si="3"/>
        <v>103</v>
      </c>
      <c r="F18" s="4">
        <v>210</v>
      </c>
      <c r="H18" s="8">
        <v>167</v>
      </c>
      <c r="I18" s="1">
        <f t="array" ref="I18">INDEX($A:$A,MAX(IF($E$2:$E$19&gt;J18,ROW($E$2:$E$19),1))+1)</f>
        <v>60</v>
      </c>
      <c r="J18" s="17">
        <f t="shared" si="0"/>
        <v>110.2</v>
      </c>
      <c r="K18" s="14">
        <f t="shared" si="4"/>
        <v>0.63999999999999546</v>
      </c>
      <c r="N18" s="25" t="str">
        <f t="array" ref="N18">INDEX($A:$A,MAX(IF($E$2:$E$19&gt;O18,ROW($E$2:$E$19),1))+1)</f>
        <v>65+</v>
      </c>
      <c r="O18" s="25">
        <f>ROUND(M$3+(M$2-M$3)*(H18-M$5)/(M$4-M$5),1)</f>
        <v>42.2</v>
      </c>
      <c r="Q18" s="8">
        <v>396</v>
      </c>
      <c r="R18" s="1">
        <f t="array" ref="R18">INDEX($A:$A,MAX(IF($E$2:$E$19&gt;S18,ROW($E$2:$E$19),1))+1)</f>
        <v>60</v>
      </c>
      <c r="S18" s="17">
        <f>ROUND(P$3+(P$2-P$3)*(Q18-P$5)/(P$4-P$5),1)</f>
        <v>115.5</v>
      </c>
      <c r="T18" s="14">
        <f>(S18-$D18)^2</f>
        <v>20.25</v>
      </c>
      <c r="W18" s="8">
        <v>396</v>
      </c>
      <c r="X18" s="1">
        <f t="array" ref="X18">INDEX($A:$A,MAX(IF($E$2:$E$19&gt;Y18,ROW($E$2:$E$19),1))+1)</f>
        <v>60</v>
      </c>
      <c r="Y18" s="17">
        <f>ROUND(V$3+(V$2-V$3)*(W18-V$5)/(V$4-V$5),1)</f>
        <v>112.2</v>
      </c>
      <c r="Z18" s="14">
        <f>(Y18-$D18)^2</f>
        <v>1.4400000000000068</v>
      </c>
    </row>
    <row r="19" spans="1:26" x14ac:dyDescent="0.15">
      <c r="A19" s="2">
        <v>65</v>
      </c>
      <c r="B19" s="3">
        <v>3</v>
      </c>
      <c r="C19" s="4">
        <v>95915</v>
      </c>
      <c r="D19" s="11">
        <f t="shared" si="2"/>
        <v>96</v>
      </c>
      <c r="E19" s="11">
        <f t="shared" si="3"/>
        <v>48</v>
      </c>
      <c r="F19" s="4"/>
      <c r="H19" s="8">
        <v>149</v>
      </c>
      <c r="I19" s="1">
        <f t="array" ref="I19">INDEX($A:$A,MAX(IF($E$2:$E$20&gt;J19,ROW($E$2:$E$20),1))+1)</f>
        <v>65</v>
      </c>
      <c r="J19" s="17">
        <f t="shared" si="0"/>
        <v>96</v>
      </c>
      <c r="K19" s="14">
        <f t="shared" si="4"/>
        <v>0</v>
      </c>
      <c r="N19" s="25" t="str">
        <f t="array" ref="N19">INDEX($A:$A,MAX(IF($E$2:$E$19&gt;O19,ROW($E$2:$E$19),1))+1)</f>
        <v>65+</v>
      </c>
      <c r="O19" s="25">
        <f>ROUND(M$3+(M$2-M$3)*(H19-M$5)/(M$4-M$5),1)</f>
        <v>36.700000000000003</v>
      </c>
      <c r="Q19" s="17">
        <v>332</v>
      </c>
      <c r="R19" s="1">
        <f t="array" ref="R19">INDEX($A:$A,MAX(IF($E$2:$E$19&gt;S19,ROW($E$2:$E$19),1))+1)</f>
        <v>65</v>
      </c>
      <c r="S19" s="17">
        <f>ROUND(P$3+(P$2-P$3)*(Q19-P$5)/(P$4-P$5),1)</f>
        <v>96</v>
      </c>
      <c r="T19" s="14">
        <f>(S19-$D19)^2</f>
        <v>0</v>
      </c>
      <c r="W19" s="17">
        <v>332</v>
      </c>
      <c r="X19" s="1">
        <f t="array" ref="X19">INDEX($A:$A,MAX(IF($E$2:$E$19&gt;Y19,ROW($E$2:$E$19),1))+1)</f>
        <v>65</v>
      </c>
      <c r="Y19" s="17">
        <f>ROUND(V$3+(V$2-V$3)*(W19-V$5)/(V$4-V$5),1)</f>
        <v>92.7</v>
      </c>
      <c r="Z19" s="14">
        <f>(Y19-$D19)^2</f>
        <v>10.889999999999981</v>
      </c>
    </row>
    <row r="20" spans="1:26" x14ac:dyDescent="0.15">
      <c r="A20" s="1" t="s">
        <v>66</v>
      </c>
      <c r="E20" s="11">
        <v>10</v>
      </c>
    </row>
    <row r="23" spans="1:26" x14ac:dyDescent="0.15">
      <c r="A23" s="1" t="s">
        <v>3</v>
      </c>
    </row>
    <row r="24" spans="1:26" x14ac:dyDescent="0.15">
      <c r="A24" s="1">
        <v>1</v>
      </c>
      <c r="B24" t="s">
        <v>4</v>
      </c>
    </row>
    <row r="25" spans="1:26" x14ac:dyDescent="0.15">
      <c r="A25" s="1">
        <v>2</v>
      </c>
      <c r="B25" t="s">
        <v>5</v>
      </c>
    </row>
    <row r="26" spans="1:26" x14ac:dyDescent="0.15">
      <c r="A26" s="1">
        <v>3</v>
      </c>
      <c r="B26" t="s">
        <v>6</v>
      </c>
    </row>
    <row r="27" spans="1:26" x14ac:dyDescent="0.15">
      <c r="A27" s="1">
        <v>4</v>
      </c>
      <c r="B27" t="s">
        <v>7</v>
      </c>
    </row>
    <row r="6012" spans="11:11" x14ac:dyDescent="0.15">
      <c r="K6012" s="6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K4" sqref="K4"/>
    </sheetView>
  </sheetViews>
  <sheetFormatPr defaultRowHeight="13.5" x14ac:dyDescent="0.15"/>
  <cols>
    <col min="1" max="1" width="17.625" customWidth="1"/>
    <col min="10" max="10" width="18.375" customWidth="1"/>
    <col min="17" max="17" width="10.625" customWidth="1"/>
  </cols>
  <sheetData>
    <row r="1" spans="1:17" x14ac:dyDescent="0.15">
      <c r="A1" s="10" t="s">
        <v>27</v>
      </c>
      <c r="C1" s="7" t="s">
        <v>18</v>
      </c>
      <c r="D1" s="7" t="s">
        <v>16</v>
      </c>
      <c r="E1" s="7" t="s">
        <v>11</v>
      </c>
      <c r="F1" s="7" t="s">
        <v>12</v>
      </c>
      <c r="J1" s="10" t="s">
        <v>39</v>
      </c>
      <c r="L1" s="7" t="s">
        <v>15</v>
      </c>
      <c r="M1" s="7" t="s">
        <v>16</v>
      </c>
      <c r="N1" s="7" t="s">
        <v>11</v>
      </c>
      <c r="O1" s="7" t="s">
        <v>12</v>
      </c>
    </row>
    <row r="2" spans="1:17" x14ac:dyDescent="0.15">
      <c r="B2" s="7" t="s">
        <v>10</v>
      </c>
      <c r="C2">
        <v>1000</v>
      </c>
      <c r="D2">
        <v>100</v>
      </c>
      <c r="E2">
        <v>3300</v>
      </c>
      <c r="F2">
        <v>356</v>
      </c>
      <c r="G2" s="7" t="s">
        <v>13</v>
      </c>
      <c r="H2" s="7" t="s">
        <v>14</v>
      </c>
      <c r="K2" s="7" t="s">
        <v>10</v>
      </c>
      <c r="L2">
        <v>1100</v>
      </c>
      <c r="M2">
        <v>100</v>
      </c>
      <c r="N2">
        <v>4000</v>
      </c>
      <c r="O2">
        <v>1400</v>
      </c>
      <c r="P2" s="7" t="s">
        <v>13</v>
      </c>
      <c r="Q2" s="7" t="s">
        <v>14</v>
      </c>
    </row>
    <row r="3" spans="1:17" x14ac:dyDescent="0.15">
      <c r="A3" s="7" t="s">
        <v>19</v>
      </c>
      <c r="B3">
        <v>4095</v>
      </c>
      <c r="G3">
        <f>D$2+(C$2-D$2)*(B3-F$2)/(E$2-F$2)</f>
        <v>1243.0366847826087</v>
      </c>
      <c r="H3">
        <v>1114</v>
      </c>
      <c r="J3" s="7" t="s">
        <v>20</v>
      </c>
      <c r="K3">
        <v>4095</v>
      </c>
      <c r="P3">
        <f>M$2+(L$2-M$2)*(K3-O$2)/(N$2-O$2)</f>
        <v>1136.5384615384614</v>
      </c>
      <c r="Q3">
        <v>1114</v>
      </c>
    </row>
    <row r="4" spans="1:17" x14ac:dyDescent="0.15">
      <c r="A4" s="7" t="s">
        <v>24</v>
      </c>
      <c r="B4">
        <v>1444</v>
      </c>
      <c r="G4">
        <f>D$2+(C$2-D$2)*(B4-F$2)/(E$2-F$2)</f>
        <v>432.60869565217394</v>
      </c>
      <c r="H4">
        <v>111</v>
      </c>
      <c r="J4" s="7" t="s">
        <v>21</v>
      </c>
      <c r="K4">
        <v>1444</v>
      </c>
      <c r="P4">
        <f>M$2+(L$2-M$2)*(K4-O$2)/(N$2-O$2)</f>
        <v>116.92307692307692</v>
      </c>
      <c r="Q4">
        <v>111</v>
      </c>
    </row>
    <row r="5" spans="1:17" x14ac:dyDescent="0.15">
      <c r="A5" s="7" t="s">
        <v>31</v>
      </c>
      <c r="E5" t="s">
        <v>38</v>
      </c>
      <c r="G5" s="9" t="s">
        <v>34</v>
      </c>
      <c r="J5" s="7" t="s">
        <v>17</v>
      </c>
      <c r="K5">
        <v>1086</v>
      </c>
      <c r="P5" s="11">
        <f>M$2+(L$2-M$2)*(K5-O$2)/(N$2-O$2)</f>
        <v>-20.769230769230774</v>
      </c>
      <c r="Q5" s="5" t="s">
        <v>32</v>
      </c>
    </row>
    <row r="9" spans="1:17" x14ac:dyDescent="0.15">
      <c r="C9" s="7" t="s">
        <v>18</v>
      </c>
      <c r="D9" s="7" t="s">
        <v>16</v>
      </c>
      <c r="E9" s="7" t="s">
        <v>11</v>
      </c>
      <c r="F9" s="7" t="s">
        <v>12</v>
      </c>
    </row>
    <row r="10" spans="1:17" x14ac:dyDescent="0.15">
      <c r="A10" s="10" t="s">
        <v>33</v>
      </c>
      <c r="B10" s="7" t="s">
        <v>10</v>
      </c>
      <c r="G10" s="7" t="s">
        <v>13</v>
      </c>
      <c r="H10" s="7" t="s">
        <v>14</v>
      </c>
    </row>
    <row r="11" spans="1:17" x14ac:dyDescent="0.15">
      <c r="A11" s="7" t="s">
        <v>23</v>
      </c>
      <c r="B11" s="5">
        <v>1086</v>
      </c>
      <c r="E11" t="s">
        <v>25</v>
      </c>
      <c r="G11">
        <f>D$2+(C$2-D$2)*(B11-F$2)/(E$2-F$2)</f>
        <v>323.16576086956525</v>
      </c>
    </row>
    <row r="12" spans="1:17" x14ac:dyDescent="0.15">
      <c r="A12" s="7" t="s">
        <v>22</v>
      </c>
      <c r="B12" s="5">
        <v>1104</v>
      </c>
      <c r="E12" t="s">
        <v>26</v>
      </c>
      <c r="G12">
        <f>D$2+(C$2-D$2)*(B12-F$2)/(E$2-F$2)</f>
        <v>328.66847826086956</v>
      </c>
    </row>
    <row r="18" spans="1:17" x14ac:dyDescent="0.15">
      <c r="A18" s="10" t="s">
        <v>54</v>
      </c>
      <c r="C18" s="7" t="s">
        <v>18</v>
      </c>
      <c r="D18" s="7" t="s">
        <v>16</v>
      </c>
      <c r="E18" s="7" t="s">
        <v>11</v>
      </c>
      <c r="F18" s="7" t="s">
        <v>12</v>
      </c>
      <c r="J18" s="10" t="s">
        <v>53</v>
      </c>
      <c r="L18" s="7" t="s">
        <v>18</v>
      </c>
      <c r="M18" s="7" t="s">
        <v>16</v>
      </c>
      <c r="N18" s="7" t="s">
        <v>11</v>
      </c>
      <c r="O18" s="7" t="s">
        <v>12</v>
      </c>
    </row>
    <row r="19" spans="1:17" x14ac:dyDescent="0.15">
      <c r="B19" s="7" t="s">
        <v>10</v>
      </c>
      <c r="C19">
        <v>1000</v>
      </c>
      <c r="D19">
        <v>100</v>
      </c>
      <c r="E19">
        <v>3300</v>
      </c>
      <c r="F19">
        <v>356</v>
      </c>
      <c r="G19" s="7" t="s">
        <v>13</v>
      </c>
      <c r="H19" s="7" t="s">
        <v>14</v>
      </c>
      <c r="K19" s="7" t="s">
        <v>10</v>
      </c>
      <c r="L19">
        <v>1100</v>
      </c>
      <c r="M19">
        <v>100</v>
      </c>
      <c r="N19">
        <v>1800</v>
      </c>
      <c r="O19">
        <v>500</v>
      </c>
      <c r="P19" s="7" t="s">
        <v>13</v>
      </c>
      <c r="Q19" s="7" t="s">
        <v>14</v>
      </c>
    </row>
    <row r="20" spans="1:17" x14ac:dyDescent="0.15">
      <c r="A20" s="7" t="s">
        <v>19</v>
      </c>
      <c r="B20">
        <v>1813</v>
      </c>
      <c r="G20">
        <f t="shared" ref="G20:G25" si="0">D$2+(C$2-D$2)*(B20-F$2)/(E$2-F$2)</f>
        <v>545.414402173913</v>
      </c>
      <c r="J20" s="7" t="s">
        <v>19</v>
      </c>
      <c r="K20">
        <v>1813</v>
      </c>
      <c r="P20">
        <f>M$19+(L$19-M$19)*(K20-O$19)/(N$19-O$19)</f>
        <v>1110</v>
      </c>
      <c r="Q20">
        <v>1114</v>
      </c>
    </row>
    <row r="21" spans="1:17" x14ac:dyDescent="0.15">
      <c r="A21" s="7" t="s">
        <v>28</v>
      </c>
      <c r="B21">
        <v>512</v>
      </c>
      <c r="G21">
        <f t="shared" si="0"/>
        <v>147.69021739130434</v>
      </c>
      <c r="J21" s="7" t="s">
        <v>28</v>
      </c>
      <c r="K21">
        <v>512</v>
      </c>
      <c r="P21">
        <f t="shared" ref="P21" si="1">M$19+(L$19-M$19)*(K21-O$19)/(N$19-O$19)</f>
        <v>109.23076923076923</v>
      </c>
      <c r="Q21">
        <v>111</v>
      </c>
    </row>
    <row r="22" spans="1:17" x14ac:dyDescent="0.15">
      <c r="A22" s="7" t="s">
        <v>40</v>
      </c>
      <c r="B22">
        <v>1100</v>
      </c>
      <c r="E22" t="s">
        <v>43</v>
      </c>
      <c r="G22">
        <f t="shared" si="0"/>
        <v>327.445652173913</v>
      </c>
      <c r="J22" s="7" t="s">
        <v>40</v>
      </c>
      <c r="P22">
        <f>M$19+(L$19-M$19)*(K22-O$19)/(N$19-O$19)</f>
        <v>-284.61538461538464</v>
      </c>
      <c r="Q22">
        <v>442.6</v>
      </c>
    </row>
    <row r="23" spans="1:17" x14ac:dyDescent="0.15">
      <c r="A23" s="7" t="s">
        <v>29</v>
      </c>
      <c r="B23">
        <v>922</v>
      </c>
      <c r="E23" t="s">
        <v>37</v>
      </c>
      <c r="G23">
        <f t="shared" si="0"/>
        <v>273.02989130434781</v>
      </c>
      <c r="J23" s="7" t="s">
        <v>29</v>
      </c>
      <c r="K23">
        <v>922</v>
      </c>
      <c r="N23" t="s">
        <v>41</v>
      </c>
      <c r="P23">
        <f>M$19+(L$19-M$19)*(K23-O$19)/(N$19-O$19)</f>
        <v>424.61538461538464</v>
      </c>
      <c r="Q23">
        <v>379.3</v>
      </c>
    </row>
    <row r="24" spans="1:17" x14ac:dyDescent="0.15">
      <c r="A24" s="7" t="s">
        <v>31</v>
      </c>
      <c r="B24">
        <v>851</v>
      </c>
      <c r="E24" t="s">
        <v>35</v>
      </c>
      <c r="G24" s="5">
        <f t="shared" si="0"/>
        <v>251.32472826086956</v>
      </c>
      <c r="J24" s="7" t="s">
        <v>31</v>
      </c>
      <c r="K24">
        <v>851</v>
      </c>
      <c r="N24" t="s">
        <v>42</v>
      </c>
      <c r="P24">
        <f>M$19+(L$19-M$19)*(K24-O$19)/(N$19-O$19)</f>
        <v>370</v>
      </c>
      <c r="Q24">
        <v>324.60000000000002</v>
      </c>
    </row>
    <row r="25" spans="1:17" x14ac:dyDescent="0.15">
      <c r="A25" s="7" t="s">
        <v>30</v>
      </c>
      <c r="B25">
        <v>794</v>
      </c>
      <c r="E25" t="s">
        <v>36</v>
      </c>
      <c r="G25">
        <f t="shared" si="0"/>
        <v>233.89945652173913</v>
      </c>
      <c r="J25" s="7" t="s">
        <v>30</v>
      </c>
      <c r="K25">
        <v>794</v>
      </c>
      <c r="N25" t="s">
        <v>43</v>
      </c>
      <c r="P25">
        <f>M$19+(L$19-M$19)*(K25-O$19)/(N$19-O$19)</f>
        <v>326.15384615384619</v>
      </c>
      <c r="Q25">
        <v>277.7</v>
      </c>
    </row>
    <row r="31" spans="1:17" x14ac:dyDescent="0.15">
      <c r="A31" s="10" t="s">
        <v>55</v>
      </c>
      <c r="D31" s="7" t="s">
        <v>18</v>
      </c>
      <c r="E31" s="7" t="s">
        <v>16</v>
      </c>
      <c r="F31" s="7" t="s">
        <v>11</v>
      </c>
      <c r="G31" s="7" t="s">
        <v>12</v>
      </c>
    </row>
    <row r="32" spans="1:17" x14ac:dyDescent="0.15">
      <c r="B32" s="7" t="s">
        <v>10</v>
      </c>
      <c r="C32" s="7" t="s">
        <v>46</v>
      </c>
      <c r="D32">
        <v>1114</v>
      </c>
      <c r="E32">
        <v>96</v>
      </c>
      <c r="F32">
        <v>1439</v>
      </c>
      <c r="G32" s="8">
        <v>167</v>
      </c>
      <c r="H32" s="2" t="s">
        <v>59</v>
      </c>
      <c r="I32" s="2" t="s">
        <v>57</v>
      </c>
      <c r="J32" s="2" t="s">
        <v>44</v>
      </c>
      <c r="K32" s="2" t="s">
        <v>48</v>
      </c>
      <c r="L32" s="7" t="s">
        <v>61</v>
      </c>
      <c r="M32" s="7" t="s">
        <v>60</v>
      </c>
      <c r="N32" s="7" t="s">
        <v>14</v>
      </c>
    </row>
    <row r="33" spans="1:14" x14ac:dyDescent="0.15">
      <c r="A33" s="7" t="s">
        <v>19</v>
      </c>
      <c r="B33" s="8">
        <v>1439</v>
      </c>
      <c r="C33" s="8">
        <v>1439</v>
      </c>
      <c r="K33" s="8">
        <f t="shared" ref="K33:K36" si="2">B33+J33</f>
        <v>1439</v>
      </c>
      <c r="L33">
        <f>E$32+(D$32-E$32)*(K33-G$32)/(F$32-G$32)</f>
        <v>1114</v>
      </c>
      <c r="M33">
        <f t="shared" ref="M33:M38" si="3">E$32+(D$32-E$32)*(B33-G$32)/(F$32-G$32)</f>
        <v>1114</v>
      </c>
      <c r="N33">
        <v>1114</v>
      </c>
    </row>
    <row r="34" spans="1:14" x14ac:dyDescent="0.15">
      <c r="A34" s="7" t="s">
        <v>28</v>
      </c>
      <c r="B34" s="8">
        <v>167</v>
      </c>
      <c r="C34" s="8">
        <v>167</v>
      </c>
      <c r="D34" s="7" t="s">
        <v>51</v>
      </c>
      <c r="E34" s="7" t="s">
        <v>58</v>
      </c>
      <c r="F34" s="7" t="s">
        <v>50</v>
      </c>
      <c r="G34" s="7" t="s">
        <v>58</v>
      </c>
      <c r="K34" s="8">
        <f t="shared" si="2"/>
        <v>167</v>
      </c>
      <c r="L34">
        <f t="shared" ref="L34:L36" si="4">E$32+(D$32-E$32)*(K34-G$32)/(F$32-G$32)</f>
        <v>96</v>
      </c>
      <c r="M34">
        <f t="shared" si="3"/>
        <v>96</v>
      </c>
      <c r="N34">
        <v>111</v>
      </c>
    </row>
    <row r="35" spans="1:14" x14ac:dyDescent="0.15">
      <c r="A35" s="7" t="s">
        <v>40</v>
      </c>
      <c r="B35">
        <v>588</v>
      </c>
      <c r="C35">
        <v>882.5</v>
      </c>
      <c r="D35" s="5">
        <v>280</v>
      </c>
      <c r="E35" s="5">
        <v>14</v>
      </c>
      <c r="F35" s="5">
        <v>50</v>
      </c>
      <c r="G35" s="5">
        <v>0</v>
      </c>
      <c r="H35">
        <f>($B35-$G$32)*($F$32-$B35)/$F$32/$F$32*16*16</f>
        <v>44.292483632512543</v>
      </c>
      <c r="I35">
        <f>+ABS($B35-$D$35)/($G$32-$F$32)*16+$E$35</f>
        <v>10.125786163522012</v>
      </c>
      <c r="J35">
        <f>(H35+I35)*$F$35/10+$G$35</f>
        <v>272.09134898017271</v>
      </c>
      <c r="K35" s="8">
        <f t="shared" si="2"/>
        <v>860.09134898017271</v>
      </c>
      <c r="L35">
        <f t="shared" si="4"/>
        <v>650.69103243853453</v>
      </c>
      <c r="M35">
        <f>E$32+(D$32-E$32)*(B35-G$32)/(F$32-G$32)</f>
        <v>432.9323899371069</v>
      </c>
      <c r="N35" s="8">
        <v>443</v>
      </c>
    </row>
    <row r="36" spans="1:14" x14ac:dyDescent="0.15">
      <c r="A36" s="7" t="s">
        <v>29</v>
      </c>
      <c r="B36">
        <v>507</v>
      </c>
      <c r="C36">
        <v>803</v>
      </c>
      <c r="H36">
        <f>($B36-$G$32)*($F$32-$B36)/$F$32/$F$32*16*16</f>
        <v>39.175379010499242</v>
      </c>
      <c r="I36">
        <f>+ABS($B36-$D$35)/($G$32-$F$32)*16+$E$35</f>
        <v>11.144654088050315</v>
      </c>
      <c r="J36">
        <f>(H36+I36)*$F$35/10+$G$35</f>
        <v>251.60016549274778</v>
      </c>
      <c r="K36" s="8">
        <f t="shared" si="2"/>
        <v>758.60016549274781</v>
      </c>
      <c r="L36">
        <f t="shared" si="4"/>
        <v>569.46617018208917</v>
      </c>
      <c r="M36">
        <f t="shared" si="3"/>
        <v>368.10691823899373</v>
      </c>
      <c r="N36" s="8">
        <v>379</v>
      </c>
    </row>
    <row r="37" spans="1:14" x14ac:dyDescent="0.15">
      <c r="A37" s="7" t="s">
        <v>31</v>
      </c>
      <c r="B37">
        <v>437</v>
      </c>
      <c r="C37">
        <v>723.5</v>
      </c>
      <c r="H37">
        <f>($B37-$G$32)*($F$32-$B37)/$F$32/$F$32*16*16</f>
        <v>33.446437255429387</v>
      </c>
      <c r="I37">
        <f>+ABS($B37-$D$35)/($G$32-$F$32)*16+$E$35</f>
        <v>12.025157232704402</v>
      </c>
      <c r="J37">
        <f>(H37+I37)*$F$35/10+$G$35</f>
        <v>227.35797244066893</v>
      </c>
      <c r="K37" s="8">
        <f t="shared" ref="K37:K38" si="5">B37+J37</f>
        <v>664.35797244066896</v>
      </c>
      <c r="L37">
        <f t="shared" ref="L37:L38" si="6">E$32+(D$32-E$32)*(K37-G$32)/(F$32-G$32)</f>
        <v>494.04277983066117</v>
      </c>
      <c r="M37">
        <f t="shared" si="3"/>
        <v>312.08490566037733</v>
      </c>
      <c r="N37" s="8">
        <v>325</v>
      </c>
    </row>
    <row r="38" spans="1:14" ht="11.25" customHeight="1" x14ac:dyDescent="0.15">
      <c r="A38" s="7" t="s">
        <v>30</v>
      </c>
      <c r="B38">
        <v>380</v>
      </c>
      <c r="C38">
        <v>644</v>
      </c>
      <c r="H38">
        <f>($B38-$G$32)*($F$32-$B38)/$F$32/$F$32*16*16</f>
        <v>27.886495573280996</v>
      </c>
      <c r="I38">
        <f>+ABS($B38-$D$35)/($G$32-$F$32)*16+$E$35</f>
        <v>12.742138364779874</v>
      </c>
      <c r="J38">
        <f>(H38+I38)*$F$35/10+$G$35</f>
        <v>203.14316969030435</v>
      </c>
      <c r="K38" s="8">
        <f t="shared" si="5"/>
        <v>583.14316969030438</v>
      </c>
      <c r="L38">
        <f t="shared" si="6"/>
        <v>429.04539838422158</v>
      </c>
      <c r="M38">
        <f t="shared" si="3"/>
        <v>266.46698113207549</v>
      </c>
      <c r="N38" s="8">
        <v>278</v>
      </c>
    </row>
    <row r="39" spans="1:14" x14ac:dyDescent="0.15">
      <c r="A39" s="7" t="s">
        <v>56</v>
      </c>
      <c r="B39">
        <v>898</v>
      </c>
      <c r="C39">
        <v>1121</v>
      </c>
      <c r="H39">
        <f>($B39-$G$32)*($F$32-$B39)/$F$32/$F$32*16*16</f>
        <v>48.891461476461579</v>
      </c>
      <c r="I39">
        <f>+ABS($B39-$D$35)/($G$32-$F$32)*16+$E$35</f>
        <v>6.2264150943396226</v>
      </c>
      <c r="J39">
        <f>(H39+I39)*$F$35/10+$G$35</f>
        <v>275.58938285400598</v>
      </c>
      <c r="K39" s="8">
        <f>B39+J39</f>
        <v>1173.5893828540061</v>
      </c>
      <c r="L39">
        <f>E$32+(D$32-E$32)*(K39-G$32)/(F$32-G$32)</f>
        <v>901.58804382498295</v>
      </c>
      <c r="M39">
        <f>E$32+(D$32-E$32)*(B39-G$32)/(F$32-G$32)</f>
        <v>681.02987421383648</v>
      </c>
      <c r="N39" s="8">
        <v>688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10" workbookViewId="0">
      <selection activeCell="F24" sqref="F24:G25"/>
    </sheetView>
  </sheetViews>
  <sheetFormatPr defaultRowHeight="13.5" x14ac:dyDescent="0.15"/>
  <sheetData>
    <row r="1" spans="1:3" x14ac:dyDescent="0.15">
      <c r="A1" s="2" t="s">
        <v>0</v>
      </c>
      <c r="B1" s="2" t="s">
        <v>2</v>
      </c>
      <c r="C1" s="2" t="s">
        <v>8</v>
      </c>
    </row>
    <row r="2" spans="1:3" x14ac:dyDescent="0.15">
      <c r="A2" s="2">
        <v>-20</v>
      </c>
      <c r="B2" s="4">
        <v>1114257.9116601795</v>
      </c>
      <c r="C2" s="4">
        <v>1491</v>
      </c>
    </row>
    <row r="3" spans="1:3" x14ac:dyDescent="0.15">
      <c r="A3" s="2">
        <v>-15</v>
      </c>
      <c r="B3" s="4">
        <v>1002699.2788930034</v>
      </c>
      <c r="C3" s="4"/>
    </row>
    <row r="4" spans="1:3" x14ac:dyDescent="0.15">
      <c r="A4" s="2">
        <v>-10</v>
      </c>
      <c r="B4" s="4">
        <v>892506.331901773</v>
      </c>
      <c r="C4" s="4"/>
    </row>
    <row r="5" spans="1:3" x14ac:dyDescent="0.15">
      <c r="A5" s="2">
        <v>-5</v>
      </c>
      <c r="B5" s="4">
        <v>786651.58371040737</v>
      </c>
      <c r="C5" s="4"/>
    </row>
    <row r="6" spans="1:3" x14ac:dyDescent="0.15">
      <c r="A6" s="2">
        <v>0</v>
      </c>
      <c r="B6" s="4">
        <v>687566.84491978621</v>
      </c>
      <c r="C6" s="4">
        <v>950</v>
      </c>
    </row>
    <row r="7" spans="1:3" x14ac:dyDescent="0.15">
      <c r="A7" s="2">
        <v>5</v>
      </c>
      <c r="B7" s="4">
        <v>596576.3298255729</v>
      </c>
      <c r="C7" s="4"/>
    </row>
    <row r="8" spans="1:3" x14ac:dyDescent="0.15">
      <c r="A8" s="2">
        <v>10</v>
      </c>
      <c r="B8" s="4">
        <v>514977.73683402437</v>
      </c>
      <c r="C8" s="4"/>
    </row>
    <row r="9" spans="1:3" x14ac:dyDescent="0.15">
      <c r="A9" s="2">
        <v>15</v>
      </c>
      <c r="B9" s="4">
        <v>442586.59760440275</v>
      </c>
      <c r="C9" s="4"/>
    </row>
    <row r="10" spans="1:3" x14ac:dyDescent="0.15">
      <c r="A10" s="2">
        <v>20</v>
      </c>
      <c r="B10" s="4">
        <v>379262.51691474969</v>
      </c>
      <c r="C10" s="4"/>
    </row>
    <row r="11" spans="1:3" x14ac:dyDescent="0.15">
      <c r="A11" s="2">
        <v>25</v>
      </c>
      <c r="B11" s="4">
        <v>324561.40350877197</v>
      </c>
      <c r="C11" s="4"/>
    </row>
    <row r="12" spans="1:3" x14ac:dyDescent="0.15">
      <c r="A12" s="2">
        <v>30</v>
      </c>
      <c r="B12" s="4">
        <v>277667.26943942136</v>
      </c>
      <c r="C12" s="4"/>
    </row>
    <row r="13" spans="1:3" x14ac:dyDescent="0.15">
      <c r="A13" s="2">
        <v>35</v>
      </c>
      <c r="B13" s="4">
        <v>237425.81602373885</v>
      </c>
      <c r="C13" s="4"/>
    </row>
    <row r="14" spans="1:3" x14ac:dyDescent="0.15">
      <c r="A14" s="2">
        <v>40</v>
      </c>
      <c r="B14" s="4">
        <v>203219.69696969699</v>
      </c>
      <c r="C14" s="4"/>
    </row>
    <row r="15" spans="1:3" x14ac:dyDescent="0.15">
      <c r="A15" s="2">
        <v>45</v>
      </c>
      <c r="B15" s="4">
        <v>174016.96222050887</v>
      </c>
      <c r="C15" s="4">
        <v>288</v>
      </c>
    </row>
    <row r="16" spans="1:3" x14ac:dyDescent="0.15">
      <c r="A16" s="2">
        <v>50</v>
      </c>
      <c r="B16" s="4">
        <v>149432.81830627812</v>
      </c>
      <c r="C16" s="4"/>
    </row>
    <row r="17" spans="1:9" x14ac:dyDescent="0.15">
      <c r="A17" s="2">
        <v>55</v>
      </c>
      <c r="B17" s="4">
        <v>128558.70124727779</v>
      </c>
      <c r="C17" s="4"/>
    </row>
    <row r="18" spans="1:9" x14ac:dyDescent="0.15">
      <c r="A18" s="2">
        <v>60</v>
      </c>
      <c r="B18" s="4">
        <v>111000.00000000001</v>
      </c>
      <c r="C18" s="4">
        <v>210</v>
      </c>
    </row>
    <row r="19" spans="1:9" x14ac:dyDescent="0.15">
      <c r="A19" s="2">
        <v>65</v>
      </c>
      <c r="B19" s="4">
        <v>95915</v>
      </c>
      <c r="C19" s="4"/>
    </row>
    <row r="20" spans="1:9" x14ac:dyDescent="0.15">
      <c r="D20" s="1" t="s">
        <v>51</v>
      </c>
      <c r="E20" s="5">
        <v>846</v>
      </c>
      <c r="G20">
        <f>850/1800</f>
        <v>0.47222222222222221</v>
      </c>
    </row>
    <row r="21" spans="1:9" x14ac:dyDescent="0.15">
      <c r="E21">
        <v>0</v>
      </c>
      <c r="G21">
        <f>1800*0.47</f>
        <v>846</v>
      </c>
    </row>
    <row r="22" spans="1:9" x14ac:dyDescent="0.15">
      <c r="D22" s="1" t="s">
        <v>52</v>
      </c>
      <c r="E22" s="5">
        <v>10</v>
      </c>
    </row>
    <row r="23" spans="1:9" x14ac:dyDescent="0.15">
      <c r="D23" s="1" t="s">
        <v>50</v>
      </c>
      <c r="E23" s="5">
        <v>5.6</v>
      </c>
    </row>
    <row r="24" spans="1:9" x14ac:dyDescent="0.15">
      <c r="A24" s="2" t="s">
        <v>0</v>
      </c>
      <c r="B24" s="2" t="s">
        <v>49</v>
      </c>
      <c r="C24" s="2" t="s">
        <v>47</v>
      </c>
      <c r="D24" s="2" t="s">
        <v>48</v>
      </c>
      <c r="E24" s="2" t="s">
        <v>44</v>
      </c>
      <c r="F24" s="13" t="s">
        <v>45</v>
      </c>
      <c r="G24">
        <f>SUM(F25:F41)/17</f>
        <v>745.06746092351148</v>
      </c>
    </row>
    <row r="25" spans="1:9" x14ac:dyDescent="0.15">
      <c r="A25" s="2">
        <v>-20</v>
      </c>
      <c r="B25" s="8">
        <v>1813</v>
      </c>
      <c r="C25" s="8">
        <v>1813</v>
      </c>
      <c r="D25" s="8">
        <f>C25-E25</f>
        <v>1823.5973866256725</v>
      </c>
      <c r="E25">
        <f>(($B25-$B$25)*($B$41-$B25)/$B$25/$B$25*16*16+ABS($B25-$E$20)/($B$41-$B$25)*16+$E$22)*$E$23+$E$21</f>
        <v>-10.597386625672563</v>
      </c>
      <c r="F25">
        <f>(B25-D25)^2</f>
        <v>112.30460329398176</v>
      </c>
      <c r="I25">
        <v>0</v>
      </c>
    </row>
    <row r="26" spans="1:9" x14ac:dyDescent="0.15">
      <c r="A26" s="2">
        <v>-15</v>
      </c>
      <c r="B26">
        <v>1690.2</v>
      </c>
      <c r="C26">
        <f>C$25-(ROW()-25)/16*(C$25-C$41)</f>
        <v>1731.6875</v>
      </c>
      <c r="D26" s="8">
        <f t="shared" ref="D26:D41" si="0">C26-E26</f>
        <v>1670.7246728400733</v>
      </c>
      <c r="E26">
        <f t="shared" ref="E26:E43" si="1">(($B26-$B$25)*($B$41-$B26)/$B$25/$B$25*16*16+ABS($B26-$E$20)/($B$41-$B$25)*16+$E$22)*$E$23+$E$21</f>
        <v>60.962827159926839</v>
      </c>
      <c r="F26">
        <f t="shared" ref="F26:F42" si="2">(B26-D26)^2</f>
        <v>379.28836798618215</v>
      </c>
      <c r="I26">
        <v>1</v>
      </c>
    </row>
    <row r="27" spans="1:9" x14ac:dyDescent="0.15">
      <c r="A27" s="2">
        <v>-10</v>
      </c>
      <c r="B27">
        <v>1567.4</v>
      </c>
      <c r="C27">
        <f t="shared" ref="C27:C40" si="3">C$25-(ROW()-25)/16*(C$25-C$41)</f>
        <v>1650.375</v>
      </c>
      <c r="D27" s="8">
        <f t="shared" si="0"/>
        <v>1531.0059976985863</v>
      </c>
      <c r="E27">
        <f t="shared" si="1"/>
        <v>119.3690023014137</v>
      </c>
      <c r="F27">
        <f t="shared" si="2"/>
        <v>1324.5234035153144</v>
      </c>
      <c r="I27">
        <v>2</v>
      </c>
    </row>
    <row r="28" spans="1:9" x14ac:dyDescent="0.15">
      <c r="A28" s="2">
        <v>-5</v>
      </c>
      <c r="B28">
        <v>1444.6</v>
      </c>
      <c r="C28">
        <f t="shared" si="3"/>
        <v>1569.0625</v>
      </c>
      <c r="D28" s="8">
        <f t="shared" si="0"/>
        <v>1404.441361201212</v>
      </c>
      <c r="E28">
        <f>(($B28-$B$25)*($B$41-$B28)/$B$25/$B$25*16*16+ABS($B28-$E$20)/($B$41-$B$25)*16+$E$22)*$E$23+$E$21</f>
        <v>164.62113879878808</v>
      </c>
      <c r="F28">
        <f t="shared" si="2"/>
        <v>1612.7162701715156</v>
      </c>
      <c r="I28">
        <v>3</v>
      </c>
    </row>
    <row r="29" spans="1:9" x14ac:dyDescent="0.15">
      <c r="A29" s="2">
        <v>0</v>
      </c>
      <c r="B29">
        <v>1321.8</v>
      </c>
      <c r="C29">
        <f t="shared" si="3"/>
        <v>1487.75</v>
      </c>
      <c r="D29" s="8">
        <f t="shared" si="0"/>
        <v>1291.0307633479501</v>
      </c>
      <c r="E29">
        <f t="shared" si="1"/>
        <v>196.71923665204983</v>
      </c>
      <c r="F29">
        <f t="shared" si="2"/>
        <v>946.74592414984556</v>
      </c>
      <c r="I29">
        <v>4</v>
      </c>
    </row>
    <row r="30" spans="1:9" x14ac:dyDescent="0.15">
      <c r="A30" s="2">
        <v>5</v>
      </c>
      <c r="B30" s="8">
        <v>1199</v>
      </c>
      <c r="C30">
        <f t="shared" si="3"/>
        <v>1406.4375</v>
      </c>
      <c r="D30" s="8">
        <f t="shared" si="0"/>
        <v>1190.774204138801</v>
      </c>
      <c r="E30">
        <f t="shared" si="1"/>
        <v>215.66329586119906</v>
      </c>
      <c r="F30">
        <f t="shared" si="2"/>
        <v>67.663717550118648</v>
      </c>
      <c r="I30">
        <v>5</v>
      </c>
    </row>
    <row r="31" spans="1:9" x14ac:dyDescent="0.15">
      <c r="A31" s="2">
        <v>10</v>
      </c>
      <c r="B31" s="8">
        <v>1076</v>
      </c>
      <c r="C31">
        <f t="shared" si="3"/>
        <v>1325.125</v>
      </c>
      <c r="D31" s="8">
        <f t="shared" si="0"/>
        <v>1103.6729827765573</v>
      </c>
      <c r="E31">
        <f t="shared" si="1"/>
        <v>221.45201722344277</v>
      </c>
      <c r="F31">
        <f t="shared" si="2"/>
        <v>765.79397575163807</v>
      </c>
      <c r="I31">
        <v>6</v>
      </c>
    </row>
    <row r="32" spans="1:9" x14ac:dyDescent="0.15">
      <c r="A32" s="2">
        <v>15</v>
      </c>
      <c r="B32" s="8">
        <v>1006</v>
      </c>
      <c r="C32">
        <f t="shared" si="3"/>
        <v>1243.8125</v>
      </c>
      <c r="D32" s="8">
        <f t="shared" si="0"/>
        <v>1024.9584276177779</v>
      </c>
      <c r="E32">
        <f t="shared" si="1"/>
        <v>218.85407238222203</v>
      </c>
      <c r="F32">
        <f t="shared" si="2"/>
        <v>359.42197773852547</v>
      </c>
      <c r="I32">
        <v>7</v>
      </c>
    </row>
    <row r="33" spans="1:9" x14ac:dyDescent="0.15">
      <c r="A33" s="12">
        <v>20</v>
      </c>
      <c r="B33" s="8">
        <v>922</v>
      </c>
      <c r="C33">
        <f t="shared" si="3"/>
        <v>1162.5</v>
      </c>
      <c r="D33" s="8">
        <f t="shared" si="0"/>
        <v>952.40545245301769</v>
      </c>
      <c r="E33">
        <f t="shared" si="1"/>
        <v>210.09454754698231</v>
      </c>
      <c r="F33">
        <f t="shared" si="2"/>
        <v>924.49153887271927</v>
      </c>
      <c r="G33">
        <f>+(C33-B33)</f>
        <v>240.5</v>
      </c>
      <c r="H33">
        <f>+(16-I33)*I33*240/64</f>
        <v>240</v>
      </c>
      <c r="I33">
        <v>8</v>
      </c>
    </row>
    <row r="34" spans="1:9" x14ac:dyDescent="0.15">
      <c r="A34" s="2">
        <v>25</v>
      </c>
      <c r="B34" s="8">
        <v>851</v>
      </c>
      <c r="C34">
        <f t="shared" si="3"/>
        <v>1081.1875</v>
      </c>
      <c r="D34" s="8">
        <f t="shared" si="0"/>
        <v>883.29662868888363</v>
      </c>
      <c r="E34">
        <f t="shared" si="1"/>
        <v>197.89087131111631</v>
      </c>
      <c r="F34">
        <f t="shared" si="2"/>
        <v>1043.0722246676212</v>
      </c>
      <c r="I34">
        <v>9</v>
      </c>
    </row>
    <row r="35" spans="1:9" x14ac:dyDescent="0.15">
      <c r="A35" s="2">
        <v>30</v>
      </c>
      <c r="B35" s="8">
        <v>794</v>
      </c>
      <c r="C35">
        <f t="shared" si="3"/>
        <v>999.875</v>
      </c>
      <c r="D35" s="8">
        <f t="shared" si="0"/>
        <v>822.12606143096002</v>
      </c>
      <c r="E35">
        <f t="shared" si="1"/>
        <v>177.74893856904001</v>
      </c>
      <c r="F35">
        <f t="shared" si="2"/>
        <v>791.07533161813694</v>
      </c>
      <c r="I35">
        <v>10</v>
      </c>
    </row>
    <row r="36" spans="1:9" x14ac:dyDescent="0.15">
      <c r="A36" s="2">
        <v>35</v>
      </c>
      <c r="B36" s="8">
        <v>725</v>
      </c>
      <c r="C36">
        <f t="shared" si="3"/>
        <v>918.5625</v>
      </c>
      <c r="D36" s="8">
        <f t="shared" si="0"/>
        <v>769.82144935437009</v>
      </c>
      <c r="E36">
        <f t="shared" si="1"/>
        <v>148.74105064562997</v>
      </c>
      <c r="F36">
        <f t="shared" si="2"/>
        <v>2008.9623222263629</v>
      </c>
      <c r="I36">
        <v>11</v>
      </c>
    </row>
    <row r="37" spans="1:9" x14ac:dyDescent="0.15">
      <c r="A37" s="2">
        <v>40</v>
      </c>
      <c r="B37" s="8">
        <v>708</v>
      </c>
      <c r="C37">
        <f t="shared" si="3"/>
        <v>837.25</v>
      </c>
      <c r="D37" s="8">
        <f t="shared" si="0"/>
        <v>696.29346646392059</v>
      </c>
      <c r="E37">
        <f t="shared" si="1"/>
        <v>140.95653353607941</v>
      </c>
      <c r="F37">
        <f t="shared" si="2"/>
        <v>137.04292743135179</v>
      </c>
      <c r="I37">
        <v>12</v>
      </c>
    </row>
    <row r="38" spans="1:9" x14ac:dyDescent="0.15">
      <c r="A38" s="2">
        <v>45</v>
      </c>
      <c r="B38" s="8">
        <v>651</v>
      </c>
      <c r="C38">
        <f t="shared" si="3"/>
        <v>755.9375</v>
      </c>
      <c r="D38" s="8">
        <f t="shared" si="0"/>
        <v>642.92166032444447</v>
      </c>
      <c r="E38">
        <f t="shared" si="1"/>
        <v>113.01583967555555</v>
      </c>
      <c r="F38">
        <f t="shared" si="2"/>
        <v>65.259571913654554</v>
      </c>
      <c r="I38">
        <v>13</v>
      </c>
    </row>
    <row r="39" spans="1:9" x14ac:dyDescent="0.15">
      <c r="A39" s="2">
        <v>50</v>
      </c>
      <c r="B39">
        <v>604.66666666666663</v>
      </c>
      <c r="C39">
        <f t="shared" si="3"/>
        <v>674.625</v>
      </c>
      <c r="D39" s="8">
        <f t="shared" si="0"/>
        <v>586.40935881222936</v>
      </c>
      <c r="E39">
        <f t="shared" si="1"/>
        <v>88.215641187770629</v>
      </c>
      <c r="F39">
        <f t="shared" si="2"/>
        <v>333.32929009169692</v>
      </c>
      <c r="I39">
        <v>14</v>
      </c>
    </row>
    <row r="40" spans="1:9" x14ac:dyDescent="0.15">
      <c r="A40" s="2">
        <v>55</v>
      </c>
      <c r="B40">
        <v>558.33333333333337</v>
      </c>
      <c r="C40">
        <f t="shared" si="3"/>
        <v>593.3125</v>
      </c>
      <c r="D40" s="8">
        <f t="shared" si="0"/>
        <v>531.76967649552364</v>
      </c>
      <c r="E40">
        <f t="shared" si="1"/>
        <v>61.542823504476331</v>
      </c>
      <c r="F40">
        <f t="shared" si="2"/>
        <v>705.62786459691563</v>
      </c>
      <c r="I40">
        <v>15</v>
      </c>
    </row>
    <row r="41" spans="1:9" x14ac:dyDescent="0.15">
      <c r="A41" s="2">
        <v>60</v>
      </c>
      <c r="B41" s="8">
        <v>512</v>
      </c>
      <c r="C41" s="8">
        <v>512</v>
      </c>
      <c r="D41" s="8">
        <f t="shared" si="0"/>
        <v>479.00261337432744</v>
      </c>
      <c r="E41">
        <f t="shared" si="1"/>
        <v>32.997386625672554</v>
      </c>
      <c r="F41">
        <f t="shared" si="2"/>
        <v>1088.8275241241145</v>
      </c>
      <c r="I41">
        <v>16</v>
      </c>
    </row>
    <row r="42" spans="1:9" x14ac:dyDescent="0.15">
      <c r="A42" s="2">
        <v>65</v>
      </c>
      <c r="B42" s="8">
        <v>400</v>
      </c>
      <c r="C42" s="8">
        <v>400</v>
      </c>
      <c r="D42" s="8">
        <f>C42-E42</f>
        <v>443.73886386805464</v>
      </c>
      <c r="E42">
        <f t="shared" si="1"/>
        <v>-43.738863868054665</v>
      </c>
      <c r="F42">
        <f t="shared" si="2"/>
        <v>1913.0882124682155</v>
      </c>
    </row>
    <row r="43" spans="1:9" x14ac:dyDescent="0.15">
      <c r="B43" s="8">
        <v>300</v>
      </c>
      <c r="C43" s="8">
        <v>300</v>
      </c>
      <c r="D43" s="8">
        <f>C43-E43</f>
        <v>421.49967887647881</v>
      </c>
      <c r="E43">
        <f t="shared" si="1"/>
        <v>-121.49967887647884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10" workbookViewId="0">
      <selection activeCell="F24" sqref="F24:G25"/>
    </sheetView>
  </sheetViews>
  <sheetFormatPr defaultRowHeight="13.5" x14ac:dyDescent="0.15"/>
  <sheetData>
    <row r="1" spans="1:3" x14ac:dyDescent="0.15">
      <c r="A1" s="2" t="s">
        <v>0</v>
      </c>
      <c r="B1" s="2" t="s">
        <v>2</v>
      </c>
      <c r="C1" s="2" t="s">
        <v>8</v>
      </c>
    </row>
    <row r="2" spans="1:3" x14ac:dyDescent="0.15">
      <c r="A2" s="2">
        <v>-20</v>
      </c>
      <c r="B2" s="4">
        <v>1114257.9116601795</v>
      </c>
      <c r="C2" s="4">
        <v>1491</v>
      </c>
    </row>
    <row r="3" spans="1:3" x14ac:dyDescent="0.15">
      <c r="A3" s="2">
        <v>-15</v>
      </c>
      <c r="B3" s="4">
        <v>1002699.2788930034</v>
      </c>
      <c r="C3" s="4"/>
    </row>
    <row r="4" spans="1:3" x14ac:dyDescent="0.15">
      <c r="A4" s="2">
        <v>-10</v>
      </c>
      <c r="B4" s="4">
        <v>892506.331901773</v>
      </c>
      <c r="C4" s="4"/>
    </row>
    <row r="5" spans="1:3" x14ac:dyDescent="0.15">
      <c r="A5" s="2">
        <v>-5</v>
      </c>
      <c r="B5" s="4">
        <v>786651.58371040737</v>
      </c>
      <c r="C5" s="4"/>
    </row>
    <row r="6" spans="1:3" x14ac:dyDescent="0.15">
      <c r="A6" s="2">
        <v>0</v>
      </c>
      <c r="B6" s="4">
        <v>687566.84491978621</v>
      </c>
      <c r="C6" s="4">
        <v>950</v>
      </c>
    </row>
    <row r="7" spans="1:3" x14ac:dyDescent="0.15">
      <c r="A7" s="2">
        <v>5</v>
      </c>
      <c r="B7" s="4">
        <v>596576.3298255729</v>
      </c>
      <c r="C7" s="4"/>
    </row>
    <row r="8" spans="1:3" x14ac:dyDescent="0.15">
      <c r="A8" s="2">
        <v>10</v>
      </c>
      <c r="B8" s="4">
        <v>514977.73683402437</v>
      </c>
      <c r="C8" s="4"/>
    </row>
    <row r="9" spans="1:3" x14ac:dyDescent="0.15">
      <c r="A9" s="2">
        <v>15</v>
      </c>
      <c r="B9" s="4">
        <v>442586.59760440275</v>
      </c>
      <c r="C9" s="4"/>
    </row>
    <row r="10" spans="1:3" x14ac:dyDescent="0.15">
      <c r="A10" s="2">
        <v>20</v>
      </c>
      <c r="B10" s="4">
        <v>379262.51691474969</v>
      </c>
      <c r="C10" s="4"/>
    </row>
    <row r="11" spans="1:3" x14ac:dyDescent="0.15">
      <c r="A11" s="2">
        <v>25</v>
      </c>
      <c r="B11" s="4">
        <v>324561.40350877197</v>
      </c>
      <c r="C11" s="4"/>
    </row>
    <row r="12" spans="1:3" x14ac:dyDescent="0.15">
      <c r="A12" s="2">
        <v>30</v>
      </c>
      <c r="B12" s="4">
        <v>277667.26943942136</v>
      </c>
      <c r="C12" s="4"/>
    </row>
    <row r="13" spans="1:3" x14ac:dyDescent="0.15">
      <c r="A13" s="2">
        <v>35</v>
      </c>
      <c r="B13" s="4">
        <v>237425.81602373885</v>
      </c>
      <c r="C13" s="4"/>
    </row>
    <row r="14" spans="1:3" x14ac:dyDescent="0.15">
      <c r="A14" s="2">
        <v>40</v>
      </c>
      <c r="B14" s="4">
        <v>203219.69696969699</v>
      </c>
      <c r="C14" s="4"/>
    </row>
    <row r="15" spans="1:3" x14ac:dyDescent="0.15">
      <c r="A15" s="2">
        <v>45</v>
      </c>
      <c r="B15" s="4">
        <v>174016.96222050887</v>
      </c>
      <c r="C15" s="4">
        <v>288</v>
      </c>
    </row>
    <row r="16" spans="1:3" x14ac:dyDescent="0.15">
      <c r="A16" s="2">
        <v>50</v>
      </c>
      <c r="B16" s="4">
        <v>149432.81830627812</v>
      </c>
      <c r="C16" s="4"/>
    </row>
    <row r="17" spans="1:9" x14ac:dyDescent="0.15">
      <c r="A17" s="2">
        <v>55</v>
      </c>
      <c r="B17" s="4">
        <v>128558.70124727779</v>
      </c>
      <c r="C17" s="4"/>
    </row>
    <row r="18" spans="1:9" x14ac:dyDescent="0.15">
      <c r="A18" s="2">
        <v>60</v>
      </c>
      <c r="B18" s="4">
        <v>111000.00000000001</v>
      </c>
      <c r="C18" s="4">
        <v>210</v>
      </c>
    </row>
    <row r="19" spans="1:9" x14ac:dyDescent="0.15">
      <c r="A19" s="2">
        <v>65</v>
      </c>
      <c r="B19" s="4">
        <v>95915</v>
      </c>
      <c r="C19" s="4"/>
    </row>
    <row r="20" spans="1:9" x14ac:dyDescent="0.15">
      <c r="D20" s="1" t="s">
        <v>51</v>
      </c>
      <c r="E20" s="5">
        <v>280</v>
      </c>
      <c r="G20">
        <f>E20/C25</f>
        <v>0.19457956914523974</v>
      </c>
    </row>
    <row r="21" spans="1:9" x14ac:dyDescent="0.15">
      <c r="E21">
        <v>0</v>
      </c>
      <c r="G21">
        <f>C25*0.19</f>
        <v>273.41000000000003</v>
      </c>
    </row>
    <row r="22" spans="1:9" x14ac:dyDescent="0.15">
      <c r="D22" s="1" t="s">
        <v>52</v>
      </c>
      <c r="E22" s="5">
        <v>14</v>
      </c>
    </row>
    <row r="23" spans="1:9" x14ac:dyDescent="0.15">
      <c r="D23" s="1" t="s">
        <v>50</v>
      </c>
      <c r="E23" s="5">
        <v>5</v>
      </c>
    </row>
    <row r="24" spans="1:9" x14ac:dyDescent="0.15">
      <c r="A24" s="2" t="s">
        <v>0</v>
      </c>
      <c r="B24" s="2" t="s">
        <v>49</v>
      </c>
      <c r="C24" s="2" t="s">
        <v>47</v>
      </c>
      <c r="D24" s="2" t="s">
        <v>48</v>
      </c>
      <c r="E24" s="2" t="s">
        <v>44</v>
      </c>
      <c r="F24" s="13" t="s">
        <v>45</v>
      </c>
      <c r="G24">
        <f>SUM(F25:F41)/17</f>
        <v>2127.166060253362</v>
      </c>
    </row>
    <row r="25" spans="1:9" x14ac:dyDescent="0.15">
      <c r="A25" s="2">
        <v>-20</v>
      </c>
      <c r="B25" s="8">
        <v>1439</v>
      </c>
      <c r="C25" s="8">
        <v>1439</v>
      </c>
      <c r="D25" s="8">
        <f>C25-E25</f>
        <v>1441.8930817610062</v>
      </c>
      <c r="E25">
        <f>(($B25-$B$25)*($B$41-$B25)/$B$25/$B$25*16*16+ABS($B25-$E$20)/($B$41-$B$25)*16+$E$22)*$E$23+$E$21</f>
        <v>-2.8930817610062931</v>
      </c>
      <c r="F25">
        <f>(B25-D25)^2</f>
        <v>8.3699220758668211</v>
      </c>
      <c r="I25">
        <v>0</v>
      </c>
    </row>
    <row r="26" spans="1:9" x14ac:dyDescent="0.15">
      <c r="A26" s="2">
        <v>-15</v>
      </c>
      <c r="B26">
        <v>1295</v>
      </c>
      <c r="C26" s="15">
        <f>C$25-(ROW()-25)/16*(C$25-C$41)</f>
        <v>1359.5</v>
      </c>
      <c r="D26" s="8">
        <f t="shared" ref="D26:D41" si="0">C26-E26</f>
        <v>1252.9304068653339</v>
      </c>
      <c r="E26">
        <f t="shared" ref="E26:E43" si="1">(($B26-$B$25)*($B$41-$B26)/$B$25/$B$25*16*16+ABS($B26-$E$20)/($B$41-$B$25)*16+$E$22)*$E$23+$E$21</f>
        <v>106.56959313466604</v>
      </c>
      <c r="F26">
        <f t="shared" ref="F26:F42" si="2">(B26-D26)^2</f>
        <v>1769.8506665163445</v>
      </c>
      <c r="I26">
        <v>1</v>
      </c>
    </row>
    <row r="27" spans="1:9" x14ac:dyDescent="0.15">
      <c r="A27" s="2">
        <v>-10</v>
      </c>
      <c r="B27">
        <v>1159</v>
      </c>
      <c r="C27" s="15">
        <f t="shared" ref="C27:C42" si="3">C$25-(ROW()-25)/16*(C$25-C$41)</f>
        <v>1280</v>
      </c>
      <c r="D27" s="8">
        <f t="shared" si="0"/>
        <v>1093.5878460271604</v>
      </c>
      <c r="E27">
        <f t="shared" si="1"/>
        <v>186.41215397283963</v>
      </c>
      <c r="F27">
        <f t="shared" si="2"/>
        <v>4278.7498873664799</v>
      </c>
      <c r="I27">
        <v>2</v>
      </c>
    </row>
    <row r="28" spans="1:9" x14ac:dyDescent="0.15">
      <c r="A28" s="2">
        <v>-5</v>
      </c>
      <c r="B28">
        <v>1021</v>
      </c>
      <c r="C28" s="15">
        <f t="shared" si="3"/>
        <v>1200.5</v>
      </c>
      <c r="D28" s="8">
        <f t="shared" si="0"/>
        <v>956.44432211848402</v>
      </c>
      <c r="E28">
        <f t="shared" si="1"/>
        <v>244.05567788151592</v>
      </c>
      <c r="F28">
        <f t="shared" si="2"/>
        <v>4167.435546742051</v>
      </c>
      <c r="I28">
        <v>3</v>
      </c>
    </row>
    <row r="29" spans="1:9" x14ac:dyDescent="0.15">
      <c r="A29" s="2">
        <v>0</v>
      </c>
      <c r="B29" s="8">
        <v>898</v>
      </c>
      <c r="C29" s="15">
        <f t="shared" si="3"/>
        <v>1121</v>
      </c>
      <c r="D29" s="8">
        <f t="shared" si="0"/>
        <v>845.41061714599402</v>
      </c>
      <c r="E29" s="16">
        <f>(($B29-$B$25)*($B$41-$B29)/$B$25/$B$25*16*16+ABS($B29-$E$20)/($B$41-$B$25)*16+$E$22)*$E$23+$E$21</f>
        <v>275.58938285400598</v>
      </c>
      <c r="F29">
        <f t="shared" si="2"/>
        <v>2765.6431889652176</v>
      </c>
      <c r="I29">
        <v>4</v>
      </c>
    </row>
    <row r="30" spans="1:9" x14ac:dyDescent="0.15">
      <c r="A30" s="2">
        <v>5</v>
      </c>
      <c r="B30">
        <v>779</v>
      </c>
      <c r="C30" s="15">
        <f t="shared" si="3"/>
        <v>1041.5</v>
      </c>
      <c r="D30" s="8">
        <f t="shared" si="0"/>
        <v>753.20365710950887</v>
      </c>
      <c r="E30">
        <f t="shared" si="1"/>
        <v>288.29634289049119</v>
      </c>
      <c r="F30">
        <f t="shared" si="2"/>
        <v>665.45130652379237</v>
      </c>
      <c r="I30">
        <v>5</v>
      </c>
    </row>
    <row r="31" spans="1:9" x14ac:dyDescent="0.15">
      <c r="A31" s="2">
        <v>10</v>
      </c>
      <c r="B31">
        <v>680</v>
      </c>
      <c r="C31" s="15">
        <f t="shared" si="3"/>
        <v>962</v>
      </c>
      <c r="D31" s="8">
        <f t="shared" si="0"/>
        <v>676.47306520911945</v>
      </c>
      <c r="E31">
        <f t="shared" si="1"/>
        <v>285.52693479088055</v>
      </c>
      <c r="F31">
        <f t="shared" si="2"/>
        <v>12.439269019123598</v>
      </c>
      <c r="I31">
        <v>6</v>
      </c>
    </row>
    <row r="32" spans="1:9" x14ac:dyDescent="0.15">
      <c r="A32" s="2">
        <v>15</v>
      </c>
      <c r="B32">
        <v>588</v>
      </c>
      <c r="C32" s="15">
        <f t="shared" si="3"/>
        <v>882.5</v>
      </c>
      <c r="D32" s="8">
        <f t="shared" si="0"/>
        <v>610.40865101982718</v>
      </c>
      <c r="E32">
        <f t="shared" si="1"/>
        <v>272.09134898017277</v>
      </c>
      <c r="F32">
        <f t="shared" si="2"/>
        <v>502.1476405284015</v>
      </c>
      <c r="I32">
        <v>7</v>
      </c>
    </row>
    <row r="33" spans="1:9" x14ac:dyDescent="0.15">
      <c r="A33" s="12">
        <v>20</v>
      </c>
      <c r="B33" s="8">
        <v>507</v>
      </c>
      <c r="C33" s="15">
        <f t="shared" si="3"/>
        <v>803</v>
      </c>
      <c r="D33" s="8">
        <f t="shared" si="0"/>
        <v>551.39983450725219</v>
      </c>
      <c r="E33">
        <f t="shared" si="1"/>
        <v>251.60016549274781</v>
      </c>
      <c r="F33">
        <f t="shared" si="2"/>
        <v>1971.3453042713827</v>
      </c>
      <c r="G33">
        <f>+(C33-B33)</f>
        <v>296</v>
      </c>
      <c r="H33">
        <f>+(16-I33)*I33*240/64</f>
        <v>240</v>
      </c>
      <c r="I33">
        <v>8</v>
      </c>
    </row>
    <row r="34" spans="1:9" x14ac:dyDescent="0.15">
      <c r="A34" s="2">
        <v>25</v>
      </c>
      <c r="B34">
        <v>437</v>
      </c>
      <c r="C34" s="15">
        <f t="shared" si="3"/>
        <v>723.5</v>
      </c>
      <c r="D34" s="8">
        <f t="shared" si="0"/>
        <v>496.14202755933104</v>
      </c>
      <c r="E34">
        <f t="shared" si="1"/>
        <v>227.35797244066896</v>
      </c>
      <c r="F34">
        <f t="shared" si="2"/>
        <v>3497.7794238286724</v>
      </c>
      <c r="I34">
        <v>9</v>
      </c>
    </row>
    <row r="35" spans="1:9" x14ac:dyDescent="0.15">
      <c r="A35" s="2">
        <v>30</v>
      </c>
      <c r="B35">
        <v>380</v>
      </c>
      <c r="C35" s="15">
        <f t="shared" si="3"/>
        <v>644</v>
      </c>
      <c r="D35" s="8">
        <f t="shared" si="0"/>
        <v>440.85683030969562</v>
      </c>
      <c r="E35">
        <f t="shared" si="1"/>
        <v>203.14316969030438</v>
      </c>
      <c r="F35">
        <f t="shared" si="2"/>
        <v>3703.553795343088</v>
      </c>
      <c r="I35">
        <v>10</v>
      </c>
    </row>
    <row r="36" spans="1:9" x14ac:dyDescent="0.15">
      <c r="A36" s="2">
        <v>35</v>
      </c>
      <c r="B36">
        <v>327</v>
      </c>
      <c r="C36" s="15">
        <f t="shared" si="3"/>
        <v>564.5</v>
      </c>
      <c r="D36" s="8">
        <f t="shared" si="0"/>
        <v>387.47611758531929</v>
      </c>
      <c r="E36">
        <f t="shared" si="1"/>
        <v>177.02388241468071</v>
      </c>
      <c r="F36">
        <f t="shared" si="2"/>
        <v>3657.3607981933646</v>
      </c>
      <c r="I36">
        <v>11</v>
      </c>
    </row>
    <row r="37" spans="1:9" x14ac:dyDescent="0.15">
      <c r="A37" s="2">
        <v>40</v>
      </c>
      <c r="B37">
        <v>278</v>
      </c>
      <c r="C37" s="15">
        <f t="shared" si="3"/>
        <v>485</v>
      </c>
      <c r="D37" s="8">
        <f t="shared" si="0"/>
        <v>335.46518485605475</v>
      </c>
      <c r="E37">
        <f t="shared" si="1"/>
        <v>149.53481514394528</v>
      </c>
      <c r="F37">
        <f t="shared" si="2"/>
        <v>3302.2474705405439</v>
      </c>
      <c r="I37">
        <v>12</v>
      </c>
    </row>
    <row r="38" spans="1:9" x14ac:dyDescent="0.15">
      <c r="A38" s="2">
        <v>45</v>
      </c>
      <c r="B38">
        <v>247</v>
      </c>
      <c r="C38" s="15">
        <f t="shared" si="3"/>
        <v>405.5</v>
      </c>
      <c r="D38" s="8">
        <f t="shared" si="0"/>
        <v>278.62943309609972</v>
      </c>
      <c r="E38">
        <f t="shared" si="1"/>
        <v>126.8705669039003</v>
      </c>
      <c r="F38">
        <f t="shared" si="2"/>
        <v>1000.4210379806482</v>
      </c>
      <c r="I38">
        <v>13</v>
      </c>
    </row>
    <row r="39" spans="1:9" x14ac:dyDescent="0.15">
      <c r="A39" s="2">
        <v>50</v>
      </c>
      <c r="B39">
        <v>216</v>
      </c>
      <c r="C39" s="15">
        <f t="shared" si="3"/>
        <v>326</v>
      </c>
      <c r="D39" s="8">
        <f t="shared" si="0"/>
        <v>222.98175061249822</v>
      </c>
      <c r="E39">
        <f t="shared" si="1"/>
        <v>103.0182493875018</v>
      </c>
      <c r="F39">
        <f t="shared" si="2"/>
        <v>48.744841615119235</v>
      </c>
      <c r="I39">
        <v>14</v>
      </c>
    </row>
    <row r="40" spans="1:9" x14ac:dyDescent="0.15">
      <c r="A40" s="2">
        <v>55</v>
      </c>
      <c r="B40">
        <v>192</v>
      </c>
      <c r="C40" s="15">
        <f t="shared" si="3"/>
        <v>246.5</v>
      </c>
      <c r="D40" s="8">
        <f t="shared" si="0"/>
        <v>162.76400862976541</v>
      </c>
      <c r="E40">
        <f t="shared" si="1"/>
        <v>83.735991370234586</v>
      </c>
      <c r="F40">
        <f t="shared" si="2"/>
        <v>854.74319140043121</v>
      </c>
      <c r="I40">
        <v>15</v>
      </c>
    </row>
    <row r="41" spans="1:9" x14ac:dyDescent="0.15">
      <c r="A41" s="2">
        <v>60</v>
      </c>
      <c r="B41" s="8">
        <v>167</v>
      </c>
      <c r="C41" s="8">
        <v>167</v>
      </c>
      <c r="D41" s="8">
        <f t="shared" si="0"/>
        <v>104.1069182389937</v>
      </c>
      <c r="E41">
        <f t="shared" si="1"/>
        <v>62.893081761006293</v>
      </c>
      <c r="F41">
        <f t="shared" si="2"/>
        <v>3955.5397333966234</v>
      </c>
      <c r="I41">
        <v>16</v>
      </c>
    </row>
    <row r="42" spans="1:9" x14ac:dyDescent="0.15">
      <c r="A42" s="2">
        <v>65</v>
      </c>
      <c r="B42">
        <v>149</v>
      </c>
      <c r="C42" s="15">
        <f t="shared" si="3"/>
        <v>87.5</v>
      </c>
      <c r="D42" s="8">
        <f>C42-E42</f>
        <v>40.092255207532773</v>
      </c>
      <c r="E42">
        <f t="shared" si="1"/>
        <v>47.407744792467227</v>
      </c>
      <c r="F42">
        <f t="shared" si="2"/>
        <v>11860.896875781173</v>
      </c>
    </row>
    <row r="43" spans="1:9" x14ac:dyDescent="0.15">
      <c r="D43" s="8">
        <f>C43-E43</f>
        <v>96.157665394819077</v>
      </c>
      <c r="E43">
        <f t="shared" si="1"/>
        <v>-96.157665394819077</v>
      </c>
    </row>
    <row r="45" spans="1:9" x14ac:dyDescent="0.15">
      <c r="E45">
        <f>+($B29-$B$25)*($B$41-$B29)/$B$25/$B$25*16*16</f>
        <v>48.891461476461579</v>
      </c>
    </row>
    <row r="46" spans="1:9" x14ac:dyDescent="0.15">
      <c r="E46">
        <f>+ABS($B29-$E$20)/($B$41-$B$25)*16+$E$22</f>
        <v>6.2264150943396226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公式</vt:lpstr>
      <vt:lpstr>ADC电源1</vt:lpstr>
      <vt:lpstr>ADC电源2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2023-05-17T11:51:45Z</dcterms:modified>
</cp:coreProperties>
</file>