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3"/>
  </bookViews>
  <sheets>
    <sheet name="107mem" sheetId="5" r:id="rId1"/>
    <sheet name="107vm" sheetId="8" r:id="rId2"/>
    <sheet name="app" sheetId="7" r:id="rId3"/>
    <sheet name="107flash" sheetId="9" r:id="rId4"/>
  </sheets>
  <calcPr calcId="152511"/>
</workbook>
</file>

<file path=xl/calcChain.xml><?xml version="1.0" encoding="utf-8"?>
<calcChain xmlns="http://schemas.openxmlformats.org/spreadsheetml/2006/main">
  <c r="C8" i="9" l="1"/>
  <c r="C9" i="9"/>
  <c r="C7" i="9"/>
  <c r="D71" i="5" l="1"/>
  <c r="D77" i="5"/>
  <c r="D75" i="5" l="1"/>
  <c r="E23" i="8"/>
  <c r="D73" i="5"/>
  <c r="D68" i="5"/>
  <c r="D67" i="5" s="1"/>
  <c r="D72" i="5" s="1"/>
  <c r="D76" i="5" s="1"/>
  <c r="D20" i="8"/>
  <c r="D19" i="8"/>
  <c r="D18" i="8"/>
  <c r="D17" i="8"/>
  <c r="D16" i="8"/>
  <c r="D15" i="8"/>
  <c r="D14" i="8"/>
  <c r="D13" i="8"/>
  <c r="D12" i="8"/>
  <c r="D11" i="8"/>
  <c r="E10" i="8" s="1"/>
  <c r="E22" i="8" s="1"/>
  <c r="D21" i="8"/>
  <c r="D66" i="5"/>
  <c r="C38" i="5"/>
  <c r="D70" i="5"/>
  <c r="D57" i="5"/>
  <c r="D58" i="5"/>
  <c r="D59" i="5"/>
  <c r="D22" i="5"/>
  <c r="D53" i="5" s="1"/>
  <c r="D21" i="5"/>
  <c r="D52" i="5" s="1"/>
  <c r="D56" i="5" s="1"/>
  <c r="E27" i="8" s="1"/>
  <c r="D18" i="5"/>
  <c r="D49" i="5" s="1"/>
  <c r="D63" i="5" s="1"/>
  <c r="D17" i="5"/>
  <c r="D48" i="5" s="1"/>
  <c r="C37" i="5"/>
  <c r="D3" i="5"/>
  <c r="D32" i="5" s="1"/>
  <c r="D4" i="5"/>
  <c r="D33" i="5" s="1"/>
  <c r="D5" i="5"/>
  <c r="D6" i="5"/>
  <c r="D7" i="5"/>
  <c r="D8" i="5"/>
  <c r="D39" i="5" s="1"/>
  <c r="D9" i="5"/>
  <c r="D40" i="5" s="1"/>
  <c r="D10" i="5"/>
  <c r="D41" i="5" s="1"/>
  <c r="D11" i="5"/>
  <c r="D42" i="5" s="1"/>
  <c r="D12" i="5"/>
  <c r="D43" i="5" s="1"/>
  <c r="D13" i="5"/>
  <c r="D44" i="5" s="1"/>
  <c r="D14" i="5"/>
  <c r="D45" i="5" s="1"/>
  <c r="D15" i="5"/>
  <c r="D46" i="5" s="1"/>
  <c r="D16" i="5"/>
  <c r="D47" i="5" s="1"/>
  <c r="D19" i="5"/>
  <c r="D50" i="5" s="1"/>
  <c r="D20" i="5"/>
  <c r="D51" i="5" s="1"/>
  <c r="D65" i="5" s="1"/>
  <c r="D2" i="5"/>
  <c r="D64" i="5" l="1"/>
  <c r="D31" i="5"/>
  <c r="D23" i="5"/>
  <c r="E40" i="8"/>
  <c r="E38" i="8"/>
  <c r="C14" i="8"/>
  <c r="C13" i="8"/>
  <c r="E7" i="8"/>
  <c r="C27" i="5" l="1"/>
  <c r="C28" i="5"/>
  <c r="E26" i="8" l="1"/>
  <c r="E35" i="8" l="1"/>
  <c r="E34" i="8" s="1"/>
  <c r="E47" i="8" s="1"/>
  <c r="E44" i="8" s="1"/>
</calcChain>
</file>

<file path=xl/sharedStrings.xml><?xml version="1.0" encoding="utf-8"?>
<sst xmlns="http://schemas.openxmlformats.org/spreadsheetml/2006/main" count="211" uniqueCount="191">
  <si>
    <t>静态RAM</t>
  </si>
  <si>
    <t>MEM_RWZI_SIZE</t>
  </si>
  <si>
    <t>MEM_HEAP_SIZE</t>
  </si>
  <si>
    <t>HEAP</t>
  </si>
  <si>
    <t>01e95100</t>
  </si>
  <si>
    <t>02fe0000</t>
  </si>
  <si>
    <t>MEM_CFG_SYSSTACK_OFFSET</t>
  </si>
  <si>
    <t>MEM_ALL_POOL_SIZE</t>
  </si>
  <si>
    <t>MEM_CFG_END_OFFSET</t>
  </si>
  <si>
    <t>MEM_CFG_BASE_ADDR</t>
  </si>
  <si>
    <t>MEMF_CFG_DELTANV_OFFSET</t>
  </si>
  <si>
    <t>MEM_PHY_BASE_ADDR</t>
  </si>
  <si>
    <t>IMAGE_ENTRY_BASE_ADDR</t>
  </si>
  <si>
    <t>MEM_CFG_SIPC_SMEM_OFFSET</t>
  </si>
  <si>
    <t>80000000</t>
    <phoneticPr fontId="1" type="noConversion"/>
  </si>
  <si>
    <t>00000000</t>
    <phoneticPr fontId="1" type="noConversion"/>
  </si>
  <si>
    <t>addr</t>
    <phoneticPr fontId="1" type="noConversion"/>
  </si>
  <si>
    <t>00020000</t>
    <phoneticPr fontId="1" type="noConversion"/>
  </si>
  <si>
    <t>MEM_CFG_BT_FM_OFFSET</t>
  </si>
  <si>
    <t>MEM_CFG_TGDSP_OFFSET</t>
  </si>
  <si>
    <t>MEM_LTEADX_UL_OFFSET</t>
  </si>
  <si>
    <t>MEM_LTEADX_DL_OFFSET</t>
  </si>
  <si>
    <t>MEM_CFG_GDSP_LOG_OFFSET</t>
  </si>
  <si>
    <t xml:space="preserve">   </t>
  </si>
  <si>
    <t>MEM_CFG_DMA_OFFSET</t>
  </si>
  <si>
    <t>MEM_CFG_WL2_OFFSET</t>
  </si>
  <si>
    <t>MEM_CFG_DSM_OFFSET</t>
  </si>
  <si>
    <t>MEM_CFG_TM_INFO_OFFSET</t>
  </si>
  <si>
    <t>MEM_CFG_WPHY_DMA_LINK_OFFSET</t>
  </si>
  <si>
    <t>MEM_CFG_WPHY_OFFSET</t>
  </si>
  <si>
    <t>MEM_CFG_KERNEL_HASH_KEY_NEXT_OFFSET</t>
  </si>
  <si>
    <t>MEM_CFG_KERNEL_OFFSET</t>
  </si>
  <si>
    <t>000e0000</t>
  </si>
  <si>
    <t>00400000</t>
  </si>
  <si>
    <t>0072c000</t>
  </si>
  <si>
    <t>007a9000</t>
  </si>
  <si>
    <t>007f4000</t>
  </si>
  <si>
    <t>00814000</t>
  </si>
  <si>
    <t>00824000</t>
  </si>
  <si>
    <t>00874000</t>
  </si>
  <si>
    <t>0087a000</t>
  </si>
  <si>
    <t>0088a000</t>
  </si>
  <si>
    <t>008ba000</t>
  </si>
  <si>
    <t>00988800</t>
  </si>
  <si>
    <t>009a8800</t>
  </si>
  <si>
    <t>00a05f00</t>
  </si>
  <si>
    <t>00a06000</t>
  </si>
  <si>
    <t>01600000</t>
  </si>
  <si>
    <t>01700000</t>
  </si>
  <si>
    <t>03000000</t>
  </si>
  <si>
    <t>SIPC_SHMEM_START_ADDR</t>
    <phoneticPr fontId="1" type="noConversion"/>
  </si>
  <si>
    <t>MEM_CFG_LTEDSP_OFFSET</t>
  </si>
  <si>
    <t>MEM_CFG_MMU_PGT_OFFSET</t>
  </si>
  <si>
    <t>MEM_CFG_BT_FM_START_ADDR</t>
  </si>
  <si>
    <t>MEM_TGDSP_START_PHYADDR</t>
  </si>
  <si>
    <t>MEM_LTEDSP_START_ADDR</t>
  </si>
  <si>
    <t>MEM_LTEADX_UL_START_ADDR</t>
  </si>
  <si>
    <t>MEM_LTEADX_DL_START_ADDR</t>
  </si>
  <si>
    <t>LTE_DSP_LOG_SHDATA_ADDR</t>
  </si>
  <si>
    <t>MEM_DSPCODE_START_PHYADDR</t>
  </si>
  <si>
    <t>MEM_GDSP_LOG_START_ADDR</t>
  </si>
  <si>
    <t>MEM_DMA_START_ADDR</t>
  </si>
  <si>
    <t>MEM_WL2_START_ADDR</t>
  </si>
  <si>
    <t>MEM_DSM_AREA_START</t>
  </si>
  <si>
    <t>MEM_WPHY_DMA_LINK_START_ADDR</t>
  </si>
  <si>
    <t>MEM_WPHY_START_ADDR</t>
  </si>
  <si>
    <t>MEM_CFG_RESERVED_UNCACHE_START_ADDR</t>
  </si>
  <si>
    <t>MEM_MMU_PGT_SIZE</t>
  </si>
  <si>
    <t>PB</t>
    <phoneticPr fontId="1" type="noConversion"/>
  </si>
  <si>
    <t>SMS</t>
    <phoneticPr fontId="1" type="noConversion"/>
  </si>
  <si>
    <t>100条</t>
  </si>
  <si>
    <t>24K</t>
  </si>
  <si>
    <t>仅存一个号码</t>
  </si>
  <si>
    <t>存两个号码</t>
  </si>
  <si>
    <t>14K</t>
  </si>
  <si>
    <t>16K</t>
  </si>
  <si>
    <t>26K</t>
    <phoneticPr fontId="1" type="noConversion"/>
  </si>
  <si>
    <t>1000条</t>
    <phoneticPr fontId="1" type="noConversion"/>
  </si>
  <si>
    <t>260K</t>
    <phoneticPr fontId="1" type="noConversion"/>
  </si>
  <si>
    <t>2000条</t>
    <phoneticPr fontId="1" type="noConversion"/>
  </si>
  <si>
    <t>540K</t>
    <phoneticPr fontId="1" type="noConversion"/>
  </si>
  <si>
    <t>MEM_KERNEL_SIZE</t>
  </si>
  <si>
    <t>MEM_PHY_SIZE</t>
  </si>
  <si>
    <t>osa_system_mem_sz</t>
  </si>
  <si>
    <t>USER_SYSTEM_MEMORY_SZ</t>
  </si>
  <si>
    <t>byte_heap_size</t>
  </si>
  <si>
    <t>BYTE_DYNAMIC_BASE_HEAP_SIZE</t>
  </si>
  <si>
    <t>INFRA_SYSTEM_MEMORY_SZ</t>
    <phoneticPr fontId="1" type="noConversion"/>
  </si>
  <si>
    <t>vm_region</t>
  </si>
  <si>
    <t>0x0</t>
  </si>
  <si>
    <t>0x100000</t>
  </si>
  <si>
    <t>DP_ZERO</t>
  </si>
  <si>
    <t>DP_START</t>
  </si>
  <si>
    <t>VIR</t>
  </si>
  <si>
    <t>0x1000000</t>
  </si>
  <si>
    <t>mem_pool</t>
  </si>
  <si>
    <t>pbyte_static_heap</t>
  </si>
  <si>
    <t>pbyte_dynamic_base_heap</t>
  </si>
  <si>
    <t>BLOCK_B</t>
    <phoneticPr fontId="1" type="noConversion"/>
  </si>
  <si>
    <t>BLOCK_C</t>
    <phoneticPr fontId="1" type="noConversion"/>
  </si>
  <si>
    <t>BLOCK_D</t>
    <phoneticPr fontId="1" type="noConversion"/>
  </si>
  <si>
    <t>BLOCK_E</t>
    <phoneticPr fontId="1" type="noConversion"/>
  </si>
  <si>
    <t>BLOCK_F</t>
    <phoneticPr fontId="1" type="noConversion"/>
  </si>
  <si>
    <t>BLOCK_G</t>
    <phoneticPr fontId="1" type="noConversion"/>
  </si>
  <si>
    <t>BLOCK_I</t>
    <phoneticPr fontId="1" type="noConversion"/>
  </si>
  <si>
    <t>BLOCK_H</t>
    <phoneticPr fontId="1" type="noConversion"/>
  </si>
  <si>
    <t>BLOCK_K</t>
    <phoneticPr fontId="1" type="noConversion"/>
  </si>
  <si>
    <t>BLOCK_J</t>
    <phoneticPr fontId="1" type="noConversion"/>
  </si>
  <si>
    <t>OSA_SYSTEM_MEMORY_SZ</t>
    <phoneticPr fontId="1" type="noConversion"/>
  </si>
  <si>
    <t>INFRA_SYSTEM_MEMORY_SZ</t>
  </si>
  <si>
    <t>增加RAM后减小</t>
    <phoneticPr fontId="1" type="noConversion"/>
  </si>
  <si>
    <t>BYTE_DYNAMIC_APP_HEAP_SIZE</t>
  </si>
  <si>
    <t>ALL_POOL_SIZE</t>
    <phoneticPr fontId="1" type="noConversion"/>
  </si>
  <si>
    <t>44*ALL_POOL_NUM</t>
    <phoneticPr fontId="1" type="noConversion"/>
  </si>
  <si>
    <t>增加STATIC heap</t>
    <phoneticPr fontId="1" type="noConversion"/>
  </si>
  <si>
    <t>增加xxx后减小</t>
    <phoneticPr fontId="1" type="noConversion"/>
  </si>
  <si>
    <t>BYTE</t>
  </si>
  <si>
    <t>有加有减</t>
    <phoneticPr fontId="1" type="noConversion"/>
  </si>
  <si>
    <t>未使用</t>
    <phoneticPr fontId="1" type="noConversion"/>
  </si>
  <si>
    <t>BYTE_DYNAMIC_BASE_HEAP_SIZE</t>
    <phoneticPr fontId="1" type="noConversion"/>
  </si>
  <si>
    <t>MEM_CFG_HEAP_OFFSET</t>
    <phoneticPr fontId="1" type="noConversion"/>
  </si>
  <si>
    <t>MEM_CFG_RWZI_OFFSET</t>
    <phoneticPr fontId="1" type="noConversion"/>
  </si>
  <si>
    <t>BYTE_STATIC_HEAP_SIZE</t>
    <phoneticPr fontId="1" type="noConversion"/>
  </si>
  <si>
    <t>OSA</t>
    <phoneticPr fontId="1" type="noConversion"/>
  </si>
  <si>
    <t>STACK_SYSTEM_MEMORY_SZ</t>
    <phoneticPr fontId="1" type="noConversion"/>
  </si>
  <si>
    <t>MEM_ALL_POOL_SIZE</t>
    <phoneticPr fontId="1" type="noConversion"/>
  </si>
  <si>
    <t>OSA_SYSTEM_MEMORY_SZ</t>
    <phoneticPr fontId="1" type="noConversion"/>
  </si>
  <si>
    <t>APP_HEAP</t>
    <phoneticPr fontId="1" type="noConversion"/>
  </si>
  <si>
    <t>BYTE_HEAP_SIZE</t>
    <phoneticPr fontId="1" type="noConversion"/>
  </si>
  <si>
    <t>增加xxx后减小2个值的和</t>
    <phoneticPr fontId="1" type="noConversion"/>
  </si>
  <si>
    <t>0x100000</t>
    <phoneticPr fontId="1" type="noConversion"/>
  </si>
  <si>
    <t>1M对齐</t>
    <phoneticPr fontId="1" type="noConversion"/>
  </si>
  <si>
    <t>1M</t>
    <phoneticPr fontId="1" type="noConversion"/>
  </si>
  <si>
    <t>16M</t>
    <phoneticPr fontId="1" type="noConversion"/>
  </si>
  <si>
    <t>BYTE_DYNAMIC_APP_HEAP_SIZE</t>
    <phoneticPr fontId="1" type="noConversion"/>
  </si>
  <si>
    <t>备注</t>
    <phoneticPr fontId="1" type="noConversion"/>
  </si>
  <si>
    <t>mem_pool_cfg[2].pool_size</t>
    <phoneticPr fontId="1" type="noConversion"/>
  </si>
  <si>
    <t>mem_code_size</t>
  </si>
  <si>
    <t>加一起4048K</t>
    <phoneticPr fontId="1" type="noConversion"/>
  </si>
  <si>
    <t>在3200K后前4K</t>
    <phoneticPr fontId="1" type="noConversion"/>
  </si>
  <si>
    <t>同3200K</t>
    <phoneticPr fontId="1" type="noConversion"/>
  </si>
  <si>
    <t>MEM_TM_INFO_SIZE</t>
  </si>
  <si>
    <t>好像裁了这个</t>
    <phoneticPr fontId="1" type="noConversion"/>
  </si>
  <si>
    <t>MEMF_CFG_RESERVED_UNCACHE_OFFSET</t>
    <phoneticPr fontId="1" type="noConversion"/>
  </si>
  <si>
    <t>MEM_CFG_DELTANV_SIZE</t>
  </si>
  <si>
    <t>保留取消缓存</t>
  </si>
  <si>
    <t>MEM_KERNEL_HASH_KEY_NEXT</t>
  </si>
  <si>
    <t>未定义</t>
    <phoneticPr fontId="1" type="noConversion"/>
  </si>
  <si>
    <t>SIZE</t>
    <phoneticPr fontId="1" type="noConversion"/>
  </si>
  <si>
    <t>offset</t>
    <phoneticPr fontId="1" type="noConversion"/>
  </si>
  <si>
    <t>MEM_SYSSTACK_SIZE</t>
  </si>
  <si>
    <t>ALL SIZE</t>
    <phoneticPr fontId="1" type="noConversion"/>
  </si>
  <si>
    <t>变量</t>
    <phoneticPr fontId="1" type="noConversion"/>
  </si>
  <si>
    <t>mem_ro_size</t>
  </si>
  <si>
    <t>mem_rw_size</t>
  </si>
  <si>
    <t>g_sram_size</t>
  </si>
  <si>
    <t>BLOCK_A</t>
    <phoneticPr fontId="1" type="noConversion"/>
  </si>
  <si>
    <t>BLOCK_all</t>
    <phoneticPr fontId="1" type="noConversion"/>
  </si>
  <si>
    <t>ALL_POOL_SIZE</t>
    <phoneticPr fontId="1" type="noConversion"/>
  </si>
  <si>
    <t>什么？</t>
    <phoneticPr fontId="1" type="noConversion"/>
  </si>
  <si>
    <t>STACK_SYSTEM_MEMORY_SZ</t>
    <phoneticPr fontId="1" type="noConversion"/>
  </si>
  <si>
    <t>BYTE_STATIC_HEAP_SIZE</t>
  </si>
  <si>
    <t>BYTE_STATIC_HEAP_SIZE</t>
    <phoneticPr fontId="1" type="noConversion"/>
  </si>
  <si>
    <t>应该是2</t>
    <phoneticPr fontId="1" type="noConversion"/>
  </si>
  <si>
    <t>可减</t>
    <phoneticPr fontId="1" type="noConversion"/>
  </si>
  <si>
    <t>MAX_NUM_POOLS</t>
    <phoneticPr fontId="1" type="noConversion"/>
  </si>
  <si>
    <t>名称自己加的</t>
    <phoneticPr fontId="1" type="noConversion"/>
  </si>
  <si>
    <t>pbyte_dynamic_app_heap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</si>
  <si>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app_heap</t>
    </r>
    <r>
      <rPr>
        <sz val="11"/>
        <color theme="1"/>
        <rFont val="宋体"/>
        <family val="2"/>
        <scheme val="minor"/>
      </rPr>
      <t>.pool_size</t>
    </r>
    <phoneticPr fontId="1" type="noConversion"/>
  </si>
  <si>
    <t>增到pb 3000</t>
    <phoneticPr fontId="1" type="noConversion"/>
  </si>
  <si>
    <t>默认 8706.75 k</t>
    <phoneticPr fontId="1" type="noConversion"/>
  </si>
  <si>
    <t>默认 7868.390625 k</t>
    <phoneticPr fontId="1" type="noConversion"/>
  </si>
  <si>
    <t>默认 6850.390625 k</t>
    <phoneticPr fontId="1" type="noConversion"/>
  </si>
  <si>
    <t>默认 12264 k</t>
    <phoneticPr fontId="1" type="noConversion"/>
  </si>
  <si>
    <t>即 49152 k</t>
    <phoneticPr fontId="1" type="noConversion"/>
  </si>
  <si>
    <t>加一起4048K</t>
    <phoneticPr fontId="1" type="noConversion"/>
  </si>
  <si>
    <t>默认 7764.25 k</t>
    <phoneticPr fontId="1" type="noConversion"/>
  </si>
  <si>
    <t>1F8F100</t>
    <phoneticPr fontId="1" type="noConversion"/>
  </si>
  <si>
    <t>50倍数?旧 RWZI，01e95100</t>
    <phoneticPr fontId="1" type="noConversion"/>
  </si>
  <si>
    <t>刚好IMAGE.bin大小 12262K</t>
    <phoneticPr fontId="1" type="noConversion"/>
  </si>
  <si>
    <t>默认 918 k</t>
    <phoneticPr fontId="1" type="noConversion"/>
  </si>
  <si>
    <t>默认 7500 k</t>
    <phoneticPr fontId="1" type="noConversion"/>
  </si>
  <si>
    <t>未使用</t>
    <phoneticPr fontId="1" type="noConversion"/>
  </si>
  <si>
    <t>堆：动态分配，用于分配大量内存 SCI_ALLOC_CONST</t>
    <phoneticPr fontId="1" type="noConversion"/>
  </si>
  <si>
    <t>栈：系统自动分配释放，效率比较高;空间更小;静态分配和动态分配 alloca() 读sim联系人</t>
    <phoneticPr fontId="1" type="noConversion"/>
  </si>
  <si>
    <t>OSB_SIZE</t>
  </si>
  <si>
    <t>OSA_SIZE</t>
  </si>
  <si>
    <t>MMI_RESOURCE_SIZE</t>
  </si>
  <si>
    <t>EXEC_KERNEL_IMAGE.bin</t>
  </si>
  <si>
    <t>EXEC_USER_IMAGE.bin</t>
  </si>
  <si>
    <t>mmi_res_240X320.bin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</si>
</sst>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\ &quot;k&quot;"/>
    <numFmt numFmtId="177" formatCode="General\ &quot;M&quot;"/>
  </numFmts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9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11"/>
      <color rgb="FFFF0000"/>
      <name val="宋体"/>
      <family val="3"/>
      <charset val="134"/>
      <scheme val="minor"/>
    </font>
    <font>
      <sz val="11"/>
      <color theme="6" tint="-0.249977111117893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9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  <font>
      <sz val="11"/>
      <color theme="1" tint="0.49998474074526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249977111117893"/>
      <name val="宋体"/>
      <family val="3"/>
      <charset val="134"/>
      <scheme val="minor"/>
    </font>
    <font>
      <sz val="10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2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2" fillId="3" borderId="0" xfId="0" applyFont="1" applyFill="1"/>
    <xf numFmtId="0" fontId="10" fillId="0" borderId="0" xfId="0" applyFont="1"/>
    <xf numFmtId="0" fontId="11" fillId="0" borderId="0" xfId="0" applyFont="1"/>
    <xf numFmtId="176" fontId="0" fillId="0" borderId="0" xfId="0" applyNumberFormat="1"/>
    <xf numFmtId="176" fontId="12" fillId="0" borderId="0" xfId="0" applyNumberFormat="1" applyFont="1" applyAlignment="1">
      <alignment horizontal="center" vertical="center"/>
    </xf>
    <xf numFmtId="0" fontId="13" fillId="0" borderId="0" xfId="0" applyFont="1"/>
    <xf numFmtId="0" fontId="5" fillId="0" borderId="0" xfId="0" applyFont="1"/>
    <xf numFmtId="0" fontId="14" fillId="0" borderId="0" xfId="0" applyFont="1"/>
    <xf numFmtId="0" fontId="15" fillId="0" borderId="0" xfId="0" applyFont="1"/>
    <xf numFmtId="176" fontId="16" fillId="4" borderId="0" xfId="0" applyNumberFormat="1" applyFont="1" applyFill="1" applyAlignment="1">
      <alignment horizontal="center" vertical="center"/>
    </xf>
    <xf numFmtId="0" fontId="18" fillId="0" borderId="0" xfId="0" applyFont="1"/>
    <xf numFmtId="176" fontId="17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0" fontId="20" fillId="0" borderId="0" xfId="0" applyFont="1"/>
    <xf numFmtId="176" fontId="7" fillId="0" borderId="0" xfId="0" applyNumberFormat="1" applyFont="1" applyAlignment="1">
      <alignment horizontal="center" vertical="center"/>
    </xf>
    <xf numFmtId="0" fontId="21" fillId="0" borderId="0" xfId="0" applyFont="1"/>
    <xf numFmtId="176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3" borderId="0" xfId="0" applyFont="1" applyFill="1"/>
    <xf numFmtId="176" fontId="25" fillId="0" borderId="0" xfId="0" applyNumberFormat="1" applyFont="1" applyAlignment="1">
      <alignment horizontal="center" vertical="center"/>
    </xf>
    <xf numFmtId="176" fontId="7" fillId="0" borderId="0" xfId="0" applyNumberFormat="1" applyFont="1"/>
    <xf numFmtId="0" fontId="21" fillId="5" borderId="0" xfId="0" applyFont="1" applyFill="1"/>
    <xf numFmtId="0" fontId="26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A13" workbookViewId="0">
      <selection activeCell="F25" sqref="F25"/>
    </sheetView>
  </sheetViews>
  <sheetFormatPr defaultRowHeight="13.5" x14ac:dyDescent="0.15"/>
  <cols>
    <col min="1" max="1" width="16.5" customWidth="1"/>
    <col min="2" max="2" width="37.125" customWidth="1"/>
    <col min="3" max="3" width="26.25" style="2" customWidth="1"/>
    <col min="4" max="5" width="14.375" customWidth="1"/>
    <col min="6" max="6" width="57.5" style="31" customWidth="1"/>
    <col min="7" max="7" width="15.125" customWidth="1"/>
    <col min="8" max="8" width="10.875" customWidth="1"/>
  </cols>
  <sheetData>
    <row r="1" spans="1:13" x14ac:dyDescent="0.15">
      <c r="A1" s="7" t="s">
        <v>149</v>
      </c>
      <c r="B1" t="s">
        <v>13</v>
      </c>
      <c r="C1" s="3" t="s">
        <v>15</v>
      </c>
    </row>
    <row r="2" spans="1:13" x14ac:dyDescent="0.15">
      <c r="B2" t="s">
        <v>18</v>
      </c>
      <c r="C2" s="3" t="s">
        <v>17</v>
      </c>
      <c r="D2" s="4">
        <f>(HEX2DEC(C2)-HEX2DEC(C1))/1024</f>
        <v>128</v>
      </c>
      <c r="E2" s="4"/>
    </row>
    <row r="3" spans="1:13" x14ac:dyDescent="0.15">
      <c r="B3" s="7" t="s">
        <v>19</v>
      </c>
      <c r="C3" s="3" t="s">
        <v>32</v>
      </c>
      <c r="D3" s="4">
        <f t="shared" ref="D3:D20" si="0">(HEX2DEC(C3)-HEX2DEC(C2))/1024</f>
        <v>768</v>
      </c>
      <c r="E3" s="4"/>
    </row>
    <row r="4" spans="1:13" x14ac:dyDescent="0.15">
      <c r="B4" s="22" t="s">
        <v>51</v>
      </c>
      <c r="C4" s="3" t="s">
        <v>33</v>
      </c>
      <c r="D4" s="4">
        <f t="shared" si="0"/>
        <v>3200</v>
      </c>
      <c r="E4" s="4"/>
      <c r="L4" t="s">
        <v>23</v>
      </c>
    </row>
    <row r="5" spans="1:13" x14ac:dyDescent="0.15">
      <c r="B5" s="22" t="s">
        <v>20</v>
      </c>
      <c r="C5" s="3" t="s">
        <v>34</v>
      </c>
      <c r="D5" s="4">
        <f t="shared" si="0"/>
        <v>3248</v>
      </c>
      <c r="E5" s="37" t="s">
        <v>175</v>
      </c>
      <c r="M5" t="s">
        <v>23</v>
      </c>
    </row>
    <row r="6" spans="1:13" x14ac:dyDescent="0.15">
      <c r="B6" s="22" t="s">
        <v>21</v>
      </c>
      <c r="C6" s="3" t="s">
        <v>35</v>
      </c>
      <c r="D6" s="23">
        <f t="shared" si="0"/>
        <v>500</v>
      </c>
      <c r="E6" s="23"/>
      <c r="M6" t="s">
        <v>23</v>
      </c>
    </row>
    <row r="7" spans="1:13" x14ac:dyDescent="0.15">
      <c r="B7" s="7" t="s">
        <v>22</v>
      </c>
      <c r="C7" s="3" t="s">
        <v>36</v>
      </c>
      <c r="D7" s="23">
        <f t="shared" si="0"/>
        <v>300</v>
      </c>
      <c r="E7" s="23"/>
      <c r="M7" t="s">
        <v>23</v>
      </c>
    </row>
    <row r="8" spans="1:13" x14ac:dyDescent="0.15">
      <c r="B8" t="s">
        <v>24</v>
      </c>
      <c r="C8" s="3" t="s">
        <v>37</v>
      </c>
      <c r="D8" s="4">
        <f t="shared" si="0"/>
        <v>128</v>
      </c>
      <c r="E8" s="4"/>
    </row>
    <row r="9" spans="1:13" x14ac:dyDescent="0.15">
      <c r="B9" t="s">
        <v>25</v>
      </c>
      <c r="C9" s="3" t="s">
        <v>38</v>
      </c>
      <c r="D9" s="4">
        <f t="shared" si="0"/>
        <v>64</v>
      </c>
      <c r="E9" s="4"/>
    </row>
    <row r="10" spans="1:13" x14ac:dyDescent="0.15">
      <c r="B10" t="s">
        <v>26</v>
      </c>
      <c r="C10" s="3" t="s">
        <v>39</v>
      </c>
      <c r="D10" s="4">
        <f t="shared" si="0"/>
        <v>320</v>
      </c>
      <c r="E10" s="4"/>
    </row>
    <row r="11" spans="1:13" x14ac:dyDescent="0.15">
      <c r="B11" t="s">
        <v>27</v>
      </c>
      <c r="C11" s="3" t="s">
        <v>40</v>
      </c>
      <c r="D11" s="4">
        <f t="shared" si="0"/>
        <v>24</v>
      </c>
      <c r="E11" s="4"/>
    </row>
    <row r="12" spans="1:13" x14ac:dyDescent="0.15">
      <c r="B12" t="s">
        <v>28</v>
      </c>
      <c r="C12" s="3" t="s">
        <v>41</v>
      </c>
      <c r="D12" s="4">
        <f t="shared" si="0"/>
        <v>64</v>
      </c>
      <c r="E12" s="4"/>
    </row>
    <row r="13" spans="1:13" x14ac:dyDescent="0.15">
      <c r="B13" t="s">
        <v>29</v>
      </c>
      <c r="C13" s="3" t="s">
        <v>42</v>
      </c>
      <c r="D13" s="4">
        <f t="shared" si="0"/>
        <v>192</v>
      </c>
      <c r="E13" s="4"/>
    </row>
    <row r="14" spans="1:13" x14ac:dyDescent="0.15">
      <c r="B14" t="s">
        <v>10</v>
      </c>
      <c r="C14" s="3" t="s">
        <v>43</v>
      </c>
      <c r="D14" s="4">
        <f t="shared" si="0"/>
        <v>826</v>
      </c>
      <c r="E14" s="4"/>
    </row>
    <row r="15" spans="1:13" x14ac:dyDescent="0.15">
      <c r="B15" t="s">
        <v>143</v>
      </c>
      <c r="C15" s="3" t="s">
        <v>44</v>
      </c>
      <c r="D15" s="4">
        <f t="shared" si="0"/>
        <v>128</v>
      </c>
      <c r="E15" s="4"/>
      <c r="F15" t="s">
        <v>145</v>
      </c>
    </row>
    <row r="16" spans="1:13" x14ac:dyDescent="0.15">
      <c r="B16" t="s">
        <v>30</v>
      </c>
      <c r="C16" s="3" t="s">
        <v>45</v>
      </c>
      <c r="D16" s="4">
        <f t="shared" si="0"/>
        <v>373.75</v>
      </c>
      <c r="E16" s="4"/>
    </row>
    <row r="17" spans="1:13" x14ac:dyDescent="0.15">
      <c r="B17" t="s">
        <v>31</v>
      </c>
      <c r="C17" s="3" t="s">
        <v>46</v>
      </c>
      <c r="D17" s="4">
        <f>(HEX2DEC(C17)-HEX2DEC(C16))/1024</f>
        <v>0.25</v>
      </c>
      <c r="E17" s="4"/>
      <c r="M17" t="s">
        <v>23</v>
      </c>
    </row>
    <row r="18" spans="1:13" x14ac:dyDescent="0.15">
      <c r="B18" t="s">
        <v>52</v>
      </c>
      <c r="C18" s="3" t="s">
        <v>47</v>
      </c>
      <c r="D18" s="4">
        <f>(HEX2DEC(C18)-HEX2DEC(C17))/1024</f>
        <v>12264</v>
      </c>
      <c r="E18" s="37" t="s">
        <v>173</v>
      </c>
      <c r="F18" s="31" t="s">
        <v>179</v>
      </c>
      <c r="L18" t="s">
        <v>23</v>
      </c>
    </row>
    <row r="19" spans="1:13" x14ac:dyDescent="0.15">
      <c r="B19" s="1" t="s">
        <v>121</v>
      </c>
      <c r="C19" s="10" t="s">
        <v>48</v>
      </c>
      <c r="D19" s="4">
        <f t="shared" si="0"/>
        <v>1024</v>
      </c>
      <c r="E19" s="4"/>
    </row>
    <row r="20" spans="1:13" x14ac:dyDescent="0.15">
      <c r="B20" s="1" t="s">
        <v>120</v>
      </c>
      <c r="C20" s="11" t="s">
        <v>4</v>
      </c>
      <c r="D20" s="4">
        <f t="shared" si="0"/>
        <v>7764.25</v>
      </c>
      <c r="E20" s="37" t="s">
        <v>176</v>
      </c>
      <c r="F20" t="s">
        <v>178</v>
      </c>
      <c r="G20" s="11" t="s">
        <v>177</v>
      </c>
    </row>
    <row r="21" spans="1:13" x14ac:dyDescent="0.15">
      <c r="B21" s="1" t="s">
        <v>6</v>
      </c>
      <c r="C21" s="11" t="s">
        <v>5</v>
      </c>
      <c r="D21" s="4">
        <f>(HEX2DEC(C21)-HEX2DEC(C20))/1024</f>
        <v>17707.75</v>
      </c>
      <c r="E21" s="4"/>
      <c r="G21" s="11" t="s">
        <v>4</v>
      </c>
    </row>
    <row r="22" spans="1:13" x14ac:dyDescent="0.15">
      <c r="B22" t="s">
        <v>8</v>
      </c>
      <c r="C22" s="3" t="s">
        <v>49</v>
      </c>
      <c r="D22" s="4">
        <f>(HEX2DEC(C22)-HEX2DEC(C21))/1024</f>
        <v>128</v>
      </c>
      <c r="E22" s="4"/>
    </row>
    <row r="23" spans="1:13" x14ac:dyDescent="0.15">
      <c r="C23"/>
      <c r="D23" s="25">
        <f>SUM(D2:D22)/1024</f>
        <v>48</v>
      </c>
      <c r="E23" s="37" t="s">
        <v>174</v>
      </c>
    </row>
    <row r="26" spans="1:13" x14ac:dyDescent="0.15">
      <c r="A26" s="7" t="s">
        <v>16</v>
      </c>
      <c r="B26" t="s">
        <v>11</v>
      </c>
      <c r="C26" s="3" t="s">
        <v>14</v>
      </c>
    </row>
    <row r="27" spans="1:13" x14ac:dyDescent="0.15">
      <c r="B27" t="s">
        <v>12</v>
      </c>
      <c r="C27" s="5" t="str">
        <f>C$26</f>
        <v>80000000</v>
      </c>
    </row>
    <row r="28" spans="1:13" x14ac:dyDescent="0.15">
      <c r="B28" t="s">
        <v>9</v>
      </c>
      <c r="C28" s="5" t="str">
        <f>C$26</f>
        <v>80000000</v>
      </c>
    </row>
    <row r="29" spans="1:13" x14ac:dyDescent="0.15">
      <c r="C29" s="5"/>
    </row>
    <row r="31" spans="1:13" x14ac:dyDescent="0.15">
      <c r="A31" s="7" t="s">
        <v>148</v>
      </c>
      <c r="B31" t="s">
        <v>50</v>
      </c>
      <c r="D31" s="4">
        <f>$D2</f>
        <v>128</v>
      </c>
      <c r="E31" s="4"/>
    </row>
    <row r="32" spans="1:13" x14ac:dyDescent="0.15">
      <c r="B32" t="s">
        <v>53</v>
      </c>
      <c r="D32" s="4">
        <f t="shared" ref="D32:D33" si="1">$D3</f>
        <v>768</v>
      </c>
      <c r="E32" s="4"/>
    </row>
    <row r="33" spans="2:6" x14ac:dyDescent="0.15">
      <c r="B33" s="1" t="s">
        <v>54</v>
      </c>
      <c r="D33" s="4">
        <f t="shared" si="1"/>
        <v>3200</v>
      </c>
      <c r="E33" s="4"/>
    </row>
    <row r="34" spans="2:6" x14ac:dyDescent="0.15">
      <c r="B34" t="s">
        <v>55</v>
      </c>
      <c r="D34" s="24">
        <v>4048</v>
      </c>
      <c r="E34" s="24"/>
      <c r="F34" s="31" t="s">
        <v>138</v>
      </c>
    </row>
    <row r="35" spans="2:6" x14ac:dyDescent="0.15">
      <c r="B35" t="s">
        <v>56</v>
      </c>
      <c r="C35" s="4">
        <v>500</v>
      </c>
    </row>
    <row r="36" spans="2:6" x14ac:dyDescent="0.15">
      <c r="B36" t="s">
        <v>57</v>
      </c>
      <c r="C36" s="4">
        <v>300</v>
      </c>
    </row>
    <row r="37" spans="2:6" x14ac:dyDescent="0.15">
      <c r="B37" t="s">
        <v>58</v>
      </c>
      <c r="C37" s="4">
        <f>+HEX2DEC(1000)/1024</f>
        <v>4</v>
      </c>
      <c r="F37" s="31" t="s">
        <v>139</v>
      </c>
    </row>
    <row r="38" spans="2:6" x14ac:dyDescent="0.15">
      <c r="B38" t="s">
        <v>59</v>
      </c>
      <c r="C38" s="21">
        <f>+D33</f>
        <v>3200</v>
      </c>
      <c r="F38" s="31" t="s">
        <v>140</v>
      </c>
    </row>
    <row r="39" spans="2:6" x14ac:dyDescent="0.15">
      <c r="B39" t="s">
        <v>60</v>
      </c>
      <c r="D39" s="4">
        <f t="shared" ref="D39:D53" si="2">$D8</f>
        <v>128</v>
      </c>
      <c r="E39" s="4"/>
    </row>
    <row r="40" spans="2:6" x14ac:dyDescent="0.15">
      <c r="B40" t="s">
        <v>61</v>
      </c>
      <c r="D40" s="4">
        <f t="shared" si="2"/>
        <v>64</v>
      </c>
      <c r="E40" s="4"/>
    </row>
    <row r="41" spans="2:6" x14ac:dyDescent="0.15">
      <c r="B41" t="s">
        <v>62</v>
      </c>
      <c r="D41" s="4">
        <f t="shared" si="2"/>
        <v>320</v>
      </c>
      <c r="E41" s="4"/>
    </row>
    <row r="42" spans="2:6" x14ac:dyDescent="0.15">
      <c r="B42" t="s">
        <v>63</v>
      </c>
      <c r="D42" s="4">
        <f t="shared" si="2"/>
        <v>24</v>
      </c>
      <c r="E42" s="4"/>
    </row>
    <row r="43" spans="2:6" x14ac:dyDescent="0.15">
      <c r="B43" t="s">
        <v>141</v>
      </c>
      <c r="D43" s="4">
        <f t="shared" si="2"/>
        <v>64</v>
      </c>
      <c r="E43" s="4"/>
      <c r="F43" s="34" t="s">
        <v>182</v>
      </c>
    </row>
    <row r="44" spans="2:6" x14ac:dyDescent="0.15">
      <c r="B44" t="s">
        <v>64</v>
      </c>
      <c r="D44" s="4">
        <f t="shared" si="2"/>
        <v>192</v>
      </c>
      <c r="E44" s="4"/>
      <c r="F44" s="31" t="s">
        <v>142</v>
      </c>
    </row>
    <row r="45" spans="2:6" x14ac:dyDescent="0.15">
      <c r="B45" t="s">
        <v>65</v>
      </c>
      <c r="D45" s="4">
        <f t="shared" si="2"/>
        <v>826</v>
      </c>
      <c r="E45" s="4"/>
      <c r="F45" s="31" t="s">
        <v>142</v>
      </c>
    </row>
    <row r="46" spans="2:6" x14ac:dyDescent="0.15">
      <c r="B46" t="s">
        <v>144</v>
      </c>
      <c r="D46" s="4">
        <f t="shared" si="2"/>
        <v>128</v>
      </c>
      <c r="E46" s="4"/>
    </row>
    <row r="47" spans="2:6" x14ac:dyDescent="0.15">
      <c r="B47" t="s">
        <v>66</v>
      </c>
      <c r="D47" s="4">
        <f t="shared" si="2"/>
        <v>373.75</v>
      </c>
      <c r="E47" s="4"/>
    </row>
    <row r="48" spans="2:6" x14ac:dyDescent="0.15">
      <c r="B48" t="s">
        <v>146</v>
      </c>
      <c r="D48" s="4">
        <f t="shared" si="2"/>
        <v>0.25</v>
      </c>
      <c r="E48" s="4"/>
      <c r="F48" s="31" t="s">
        <v>147</v>
      </c>
    </row>
    <row r="49" spans="1:6" x14ac:dyDescent="0.15">
      <c r="B49" s="1" t="s">
        <v>81</v>
      </c>
      <c r="D49" s="4">
        <f t="shared" si="2"/>
        <v>12264</v>
      </c>
      <c r="E49" s="4"/>
      <c r="F49" s="31" t="s">
        <v>179</v>
      </c>
    </row>
    <row r="50" spans="1:6" x14ac:dyDescent="0.15">
      <c r="B50" t="s">
        <v>67</v>
      </c>
      <c r="D50" s="4">
        <f t="shared" si="2"/>
        <v>1024</v>
      </c>
      <c r="E50" s="4"/>
    </row>
    <row r="51" spans="1:6" x14ac:dyDescent="0.15">
      <c r="A51" s="1" t="s">
        <v>0</v>
      </c>
      <c r="B51" s="7" t="s">
        <v>1</v>
      </c>
      <c r="D51" s="24">
        <f t="shared" si="2"/>
        <v>7764.25</v>
      </c>
      <c r="E51" s="24"/>
    </row>
    <row r="52" spans="1:6" x14ac:dyDescent="0.15">
      <c r="A52" s="8" t="s">
        <v>3</v>
      </c>
      <c r="B52" t="s">
        <v>2</v>
      </c>
      <c r="D52" s="24">
        <f t="shared" si="2"/>
        <v>17707.75</v>
      </c>
      <c r="E52" s="24"/>
    </row>
    <row r="53" spans="1:6" x14ac:dyDescent="0.15">
      <c r="B53" s="7" t="s">
        <v>150</v>
      </c>
      <c r="D53" s="4">
        <f t="shared" si="2"/>
        <v>128</v>
      </c>
      <c r="E53" s="4"/>
    </row>
    <row r="55" spans="1:6" x14ac:dyDescent="0.15">
      <c r="F55" s="33"/>
    </row>
    <row r="56" spans="1:6" x14ac:dyDescent="0.15">
      <c r="A56" s="7" t="s">
        <v>151</v>
      </c>
      <c r="B56" t="s">
        <v>7</v>
      </c>
      <c r="C56"/>
      <c r="D56" s="6">
        <f>(D52-1)</f>
        <v>17706.75</v>
      </c>
      <c r="E56" s="6"/>
      <c r="F56" s="34" t="s">
        <v>110</v>
      </c>
    </row>
    <row r="57" spans="1:6" x14ac:dyDescent="0.15">
      <c r="B57" s="18" t="s">
        <v>82</v>
      </c>
      <c r="D57" s="26">
        <f>HEX2DEC(1000000)/1024/1024</f>
        <v>16</v>
      </c>
      <c r="E57" s="26"/>
      <c r="F57" s="35"/>
    </row>
    <row r="58" spans="1:6" x14ac:dyDescent="0.15">
      <c r="B58" t="s">
        <v>82</v>
      </c>
      <c r="D58" s="25">
        <f>HEX2DEC(3000000)/1024/1024</f>
        <v>48</v>
      </c>
      <c r="E58" s="25"/>
    </row>
    <row r="59" spans="1:6" x14ac:dyDescent="0.15">
      <c r="B59" s="19" t="s">
        <v>82</v>
      </c>
      <c r="D59" s="26">
        <f>HEX2DEC(4000000)/1024/1024</f>
        <v>64</v>
      </c>
      <c r="E59" s="26"/>
    </row>
    <row r="60" spans="1:6" x14ac:dyDescent="0.15">
      <c r="F60" s="32"/>
    </row>
    <row r="61" spans="1:6" x14ac:dyDescent="0.15">
      <c r="F61" s="33"/>
    </row>
    <row r="62" spans="1:6" x14ac:dyDescent="0.15">
      <c r="F62" s="33"/>
    </row>
    <row r="63" spans="1:6" x14ac:dyDescent="0.15">
      <c r="A63" s="7" t="s">
        <v>152</v>
      </c>
      <c r="B63" t="s">
        <v>137</v>
      </c>
      <c r="D63" s="21">
        <f>+D$49</f>
        <v>12264</v>
      </c>
      <c r="E63" s="21"/>
    </row>
    <row r="64" spans="1:6" x14ac:dyDescent="0.15">
      <c r="B64" t="s">
        <v>153</v>
      </c>
      <c r="D64" s="21">
        <f>+D$49</f>
        <v>12264</v>
      </c>
      <c r="E64" s="21"/>
      <c r="F64" s="32"/>
    </row>
    <row r="65" spans="2:8" x14ac:dyDescent="0.15">
      <c r="B65" t="s">
        <v>154</v>
      </c>
      <c r="D65" s="21">
        <f>+D$51</f>
        <v>7764.25</v>
      </c>
      <c r="E65" s="21"/>
      <c r="F65" s="33"/>
    </row>
    <row r="66" spans="2:8" x14ac:dyDescent="0.15">
      <c r="B66" t="s">
        <v>155</v>
      </c>
      <c r="D66" s="25">
        <f>HEX2DEC(3000000)/1024/1024</f>
        <v>48</v>
      </c>
      <c r="E66" s="25"/>
      <c r="F66" s="33"/>
    </row>
    <row r="67" spans="2:8" x14ac:dyDescent="0.15">
      <c r="B67" s="7" t="s">
        <v>83</v>
      </c>
      <c r="C67"/>
      <c r="D67" s="36">
        <f>D68-D69-D70-D71</f>
        <v>9206.75</v>
      </c>
      <c r="E67" s="37" t="s">
        <v>170</v>
      </c>
    </row>
    <row r="68" spans="2:8" x14ac:dyDescent="0.15">
      <c r="C68" s="29" t="s">
        <v>2</v>
      </c>
      <c r="D68" s="28">
        <f>INDEX('107mem'!$D$1:$D$53,MATCH($C68,'107mem'!$B$1:$B$53,0))</f>
        <v>17707.75</v>
      </c>
      <c r="E68" s="28"/>
      <c r="F68" s="31" t="s">
        <v>183</v>
      </c>
    </row>
    <row r="69" spans="2:8" x14ac:dyDescent="0.15">
      <c r="C69" s="20" t="s">
        <v>84</v>
      </c>
      <c r="D69" s="27">
        <v>1</v>
      </c>
      <c r="E69" s="27"/>
      <c r="F69" s="31" t="s">
        <v>163</v>
      </c>
    </row>
    <row r="70" spans="2:8" x14ac:dyDescent="0.15">
      <c r="C70" s="20" t="s">
        <v>87</v>
      </c>
      <c r="D70" s="27">
        <f>1500</f>
        <v>1500</v>
      </c>
      <c r="E70" s="27"/>
      <c r="F70" s="31" t="s">
        <v>159</v>
      </c>
    </row>
    <row r="71" spans="2:8" x14ac:dyDescent="0.15">
      <c r="C71" s="20" t="s">
        <v>160</v>
      </c>
      <c r="D71" s="27">
        <f>7000</f>
        <v>7000</v>
      </c>
      <c r="E71" s="37" t="s">
        <v>181</v>
      </c>
      <c r="F71" s="31" t="s">
        <v>184</v>
      </c>
      <c r="H71" s="1" t="s">
        <v>164</v>
      </c>
    </row>
    <row r="72" spans="2:8" x14ac:dyDescent="0.15">
      <c r="B72" t="s">
        <v>85</v>
      </c>
      <c r="D72" s="36">
        <f>+D67-SUM(D73:D75)</f>
        <v>8368.390625</v>
      </c>
      <c r="E72" s="37" t="s">
        <v>171</v>
      </c>
    </row>
    <row r="73" spans="2:8" x14ac:dyDescent="0.15">
      <c r="C73" s="17" t="s">
        <v>158</v>
      </c>
      <c r="D73" s="28">
        <f>'107vm'!$E$22</f>
        <v>576.5625</v>
      </c>
      <c r="E73" s="28"/>
    </row>
    <row r="74" spans="2:8" x14ac:dyDescent="0.15">
      <c r="C74" s="2">
        <v>10240</v>
      </c>
      <c r="D74" s="27">
        <v>10</v>
      </c>
      <c r="E74" s="27"/>
    </row>
    <row r="75" spans="2:8" x14ac:dyDescent="0.15">
      <c r="C75" t="s">
        <v>165</v>
      </c>
      <c r="D75" s="28">
        <f>'107vm'!$E$23</f>
        <v>251.796875</v>
      </c>
      <c r="E75" s="28"/>
    </row>
    <row r="76" spans="2:8" x14ac:dyDescent="0.15">
      <c r="B76" s="22" t="s">
        <v>168</v>
      </c>
      <c r="D76" s="36">
        <f>+D72-D77-D78</f>
        <v>6950.390625</v>
      </c>
      <c r="E76" s="37" t="s">
        <v>172</v>
      </c>
    </row>
    <row r="77" spans="2:8" x14ac:dyDescent="0.15">
      <c r="C77" s="2" t="s">
        <v>161</v>
      </c>
      <c r="D77" s="27">
        <f>918+400</f>
        <v>1318</v>
      </c>
      <c r="E77" s="38" t="s">
        <v>180</v>
      </c>
      <c r="F77" s="12" t="s">
        <v>169</v>
      </c>
    </row>
    <row r="78" spans="2:8" x14ac:dyDescent="0.15">
      <c r="C78" s="2" t="s">
        <v>86</v>
      </c>
      <c r="D78" s="27">
        <v>100</v>
      </c>
      <c r="E78" s="27"/>
      <c r="F78" s="32"/>
    </row>
    <row r="79" spans="2:8" x14ac:dyDescent="0.15">
      <c r="F79" s="33"/>
    </row>
    <row r="80" spans="2:8" x14ac:dyDescent="0.15">
      <c r="F80" s="33"/>
    </row>
    <row r="82" spans="3:6" x14ac:dyDescent="0.15">
      <c r="F82" s="32"/>
    </row>
    <row r="83" spans="3:6" x14ac:dyDescent="0.15">
      <c r="F83" s="33"/>
    </row>
    <row r="84" spans="3:6" x14ac:dyDescent="0.15">
      <c r="C84" s="27"/>
      <c r="F84" s="33"/>
    </row>
    <row r="85" spans="3:6" x14ac:dyDescent="0.15">
      <c r="C85"/>
    </row>
    <row r="86" spans="3:6" x14ac:dyDescent="0.15">
      <c r="C86"/>
      <c r="F86" s="32"/>
    </row>
    <row r="87" spans="3:6" x14ac:dyDescent="0.15">
      <c r="C87"/>
      <c r="F87" s="32"/>
    </row>
    <row r="88" spans="3:6" x14ac:dyDescent="0.15">
      <c r="C88"/>
      <c r="F88" s="32"/>
    </row>
    <row r="89" spans="3:6" x14ac:dyDescent="0.15">
      <c r="C89"/>
      <c r="F89" s="32"/>
    </row>
    <row r="90" spans="3:6" x14ac:dyDescent="0.15">
      <c r="C90"/>
      <c r="F90" s="32"/>
    </row>
    <row r="91" spans="3:6" x14ac:dyDescent="0.15">
      <c r="C91"/>
      <c r="F91" s="32"/>
    </row>
    <row r="92" spans="3:6" x14ac:dyDescent="0.15">
      <c r="C92"/>
      <c r="F92" s="32"/>
    </row>
    <row r="93" spans="3:6" x14ac:dyDescent="0.15">
      <c r="C93"/>
      <c r="F93" s="32"/>
    </row>
    <row r="94" spans="3:6" x14ac:dyDescent="0.15">
      <c r="C94"/>
      <c r="F94" s="32"/>
    </row>
    <row r="95" spans="3:6" x14ac:dyDescent="0.15">
      <c r="C95"/>
      <c r="F95" s="32"/>
    </row>
    <row r="96" spans="3:6" x14ac:dyDescent="0.15">
      <c r="F96" s="33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0" workbookViewId="0">
      <selection activeCell="D15" sqref="D15"/>
    </sheetView>
  </sheetViews>
  <sheetFormatPr defaultRowHeight="13.5" x14ac:dyDescent="0.15"/>
  <cols>
    <col min="1" max="1" width="12.25" customWidth="1"/>
    <col min="2" max="2" width="20.75" customWidth="1"/>
    <col min="3" max="3" width="15.875" customWidth="1"/>
    <col min="4" max="4" width="14.875" customWidth="1"/>
    <col min="5" max="5" width="18.25" customWidth="1"/>
    <col min="6" max="6" width="14.25" customWidth="1"/>
    <col min="7" max="7" width="14.875" customWidth="1"/>
  </cols>
  <sheetData>
    <row r="1" spans="1:7" x14ac:dyDescent="0.15">
      <c r="A1" s="7" t="s">
        <v>88</v>
      </c>
      <c r="G1" t="s">
        <v>135</v>
      </c>
    </row>
    <row r="2" spans="1:7" x14ac:dyDescent="0.15">
      <c r="B2" t="s">
        <v>91</v>
      </c>
      <c r="D2" t="s">
        <v>89</v>
      </c>
      <c r="E2" t="s">
        <v>130</v>
      </c>
      <c r="F2" t="s">
        <v>131</v>
      </c>
    </row>
    <row r="3" spans="1:7" x14ac:dyDescent="0.15">
      <c r="B3" t="s">
        <v>92</v>
      </c>
      <c r="E3" t="s">
        <v>90</v>
      </c>
      <c r="F3" t="s">
        <v>132</v>
      </c>
    </row>
    <row r="4" spans="1:7" x14ac:dyDescent="0.15">
      <c r="B4" t="s">
        <v>93</v>
      </c>
      <c r="E4" t="s">
        <v>94</v>
      </c>
      <c r="F4" t="s">
        <v>133</v>
      </c>
    </row>
    <row r="6" spans="1:7" x14ac:dyDescent="0.15">
      <c r="A6" s="7" t="s">
        <v>95</v>
      </c>
    </row>
    <row r="7" spans="1:7" x14ac:dyDescent="0.15">
      <c r="B7" t="s">
        <v>96</v>
      </c>
      <c r="E7" s="4">
        <f>918</f>
        <v>918</v>
      </c>
      <c r="F7" s="12" t="s">
        <v>114</v>
      </c>
    </row>
    <row r="8" spans="1:7" x14ac:dyDescent="0.15">
      <c r="B8" t="s">
        <v>97</v>
      </c>
      <c r="E8" s="4">
        <v>100</v>
      </c>
    </row>
    <row r="9" spans="1:7" x14ac:dyDescent="0.15">
      <c r="B9" t="s">
        <v>167</v>
      </c>
      <c r="E9" s="4">
        <v>0</v>
      </c>
      <c r="G9" t="s">
        <v>136</v>
      </c>
    </row>
    <row r="10" spans="1:7" x14ac:dyDescent="0.15">
      <c r="B10" t="s">
        <v>157</v>
      </c>
      <c r="E10" s="4">
        <f>SUM(D11:D21)</f>
        <v>576.5625</v>
      </c>
    </row>
    <row r="11" spans="1:7" x14ac:dyDescent="0.15">
      <c r="B11" t="s">
        <v>156</v>
      </c>
      <c r="C11">
        <v>20</v>
      </c>
      <c r="D11" s="4">
        <f t="shared" ref="D11:D20" si="0">100*(C11+4)/1024</f>
        <v>2.34375</v>
      </c>
    </row>
    <row r="12" spans="1:7" x14ac:dyDescent="0.15">
      <c r="B12" t="s">
        <v>98</v>
      </c>
      <c r="C12">
        <v>28</v>
      </c>
      <c r="D12" s="4">
        <f t="shared" si="0"/>
        <v>3.125</v>
      </c>
    </row>
    <row r="13" spans="1:7" x14ac:dyDescent="0.15">
      <c r="B13" t="s">
        <v>99</v>
      </c>
      <c r="C13">
        <f>40</f>
        <v>40</v>
      </c>
      <c r="D13" s="4">
        <f t="shared" si="0"/>
        <v>4.296875</v>
      </c>
    </row>
    <row r="14" spans="1:7" x14ac:dyDescent="0.15">
      <c r="B14" t="s">
        <v>100</v>
      </c>
      <c r="C14">
        <f>60</f>
        <v>60</v>
      </c>
      <c r="D14" s="4">
        <f t="shared" si="0"/>
        <v>6.25</v>
      </c>
    </row>
    <row r="15" spans="1:7" x14ac:dyDescent="0.15">
      <c r="B15" t="s">
        <v>101</v>
      </c>
      <c r="C15">
        <v>112</v>
      </c>
      <c r="D15" s="4">
        <f t="shared" si="0"/>
        <v>11.328125</v>
      </c>
    </row>
    <row r="16" spans="1:7" x14ac:dyDescent="0.15">
      <c r="B16" t="s">
        <v>102</v>
      </c>
      <c r="C16">
        <v>300</v>
      </c>
      <c r="D16" s="4">
        <f t="shared" si="0"/>
        <v>29.6875</v>
      </c>
    </row>
    <row r="17" spans="1:6" x14ac:dyDescent="0.15">
      <c r="B17" t="s">
        <v>103</v>
      </c>
      <c r="C17">
        <v>500</v>
      </c>
      <c r="D17" s="4">
        <f t="shared" si="0"/>
        <v>49.21875</v>
      </c>
    </row>
    <row r="18" spans="1:6" x14ac:dyDescent="0.15">
      <c r="B18" t="s">
        <v>105</v>
      </c>
      <c r="C18">
        <v>800</v>
      </c>
      <c r="D18" s="4">
        <f t="shared" si="0"/>
        <v>78.515625</v>
      </c>
    </row>
    <row r="19" spans="1:6" x14ac:dyDescent="0.15">
      <c r="B19" t="s">
        <v>104</v>
      </c>
      <c r="C19">
        <v>1100</v>
      </c>
      <c r="D19" s="4">
        <f t="shared" si="0"/>
        <v>107.8125</v>
      </c>
    </row>
    <row r="20" spans="1:6" x14ac:dyDescent="0.15">
      <c r="B20" t="s">
        <v>107</v>
      </c>
      <c r="C20">
        <v>1300</v>
      </c>
      <c r="D20" s="4">
        <f t="shared" si="0"/>
        <v>127.34375</v>
      </c>
    </row>
    <row r="21" spans="1:6" x14ac:dyDescent="0.15">
      <c r="B21" t="s">
        <v>106</v>
      </c>
      <c r="C21">
        <v>1600</v>
      </c>
      <c r="D21" s="4">
        <f>100*(C21+4)/1024</f>
        <v>156.640625</v>
      </c>
    </row>
    <row r="22" spans="1:6" x14ac:dyDescent="0.15">
      <c r="B22" s="17" t="s">
        <v>158</v>
      </c>
      <c r="C22" s="17"/>
      <c r="E22" s="21">
        <f>+E$10</f>
        <v>576.5625</v>
      </c>
    </row>
    <row r="23" spans="1:6" x14ac:dyDescent="0.15">
      <c r="B23" t="s">
        <v>165</v>
      </c>
      <c r="E23" s="4">
        <f>44*SUM(C11:C21)/1024</f>
        <v>251.796875</v>
      </c>
      <c r="F23" t="s">
        <v>166</v>
      </c>
    </row>
    <row r="26" spans="1:6" x14ac:dyDescent="0.15">
      <c r="A26" s="7" t="s">
        <v>123</v>
      </c>
      <c r="B26" s="13" t="s">
        <v>126</v>
      </c>
      <c r="C26" s="13"/>
      <c r="E26" s="30">
        <f>+E27-E28-E29-E30</f>
        <v>8705.75</v>
      </c>
      <c r="F26" s="12" t="s">
        <v>110</v>
      </c>
    </row>
    <row r="27" spans="1:6" x14ac:dyDescent="0.15">
      <c r="B27" t="s">
        <v>125</v>
      </c>
      <c r="E27" s="4">
        <f>INDEX('107mem'!$D$1:$D$60,MATCH($B27,'107mem'!$B$1:$B$60,0))</f>
        <v>17706.75</v>
      </c>
      <c r="F27" s="12" t="s">
        <v>110</v>
      </c>
    </row>
    <row r="28" spans="1:6" x14ac:dyDescent="0.15">
      <c r="B28" t="s">
        <v>84</v>
      </c>
      <c r="E28" s="4">
        <v>1</v>
      </c>
    </row>
    <row r="29" spans="1:6" x14ac:dyDescent="0.15">
      <c r="B29" t="s">
        <v>109</v>
      </c>
      <c r="E29" s="4">
        <v>1500</v>
      </c>
    </row>
    <row r="30" spans="1:6" x14ac:dyDescent="0.15">
      <c r="B30" s="14" t="s">
        <v>124</v>
      </c>
      <c r="C30" s="14"/>
      <c r="E30" s="4">
        <v>7500</v>
      </c>
    </row>
    <row r="34" spans="1:7" x14ac:dyDescent="0.15">
      <c r="A34" s="7" t="s">
        <v>127</v>
      </c>
      <c r="B34" t="s">
        <v>134</v>
      </c>
      <c r="E34" s="15">
        <f>+E35-SUM(E36:E40)</f>
        <v>6849.390625</v>
      </c>
      <c r="F34" s="12" t="s">
        <v>115</v>
      </c>
    </row>
    <row r="35" spans="1:7" x14ac:dyDescent="0.15">
      <c r="B35" s="13" t="s">
        <v>108</v>
      </c>
      <c r="C35" s="13"/>
      <c r="E35" s="4">
        <f>E26</f>
        <v>8705.75</v>
      </c>
    </row>
    <row r="36" spans="1:7" x14ac:dyDescent="0.15">
      <c r="B36" t="s">
        <v>119</v>
      </c>
      <c r="E36" s="4">
        <v>100</v>
      </c>
    </row>
    <row r="37" spans="1:7" x14ac:dyDescent="0.15">
      <c r="B37" t="s">
        <v>162</v>
      </c>
      <c r="E37" s="4">
        <v>918</v>
      </c>
      <c r="F37" s="12" t="s">
        <v>114</v>
      </c>
    </row>
    <row r="38" spans="1:7" x14ac:dyDescent="0.15">
      <c r="B38" s="17" t="s">
        <v>112</v>
      </c>
      <c r="C38" s="17"/>
      <c r="E38" s="4">
        <f>E22</f>
        <v>576.5625</v>
      </c>
    </row>
    <row r="39" spans="1:7" x14ac:dyDescent="0.15">
      <c r="B39">
        <v>10240</v>
      </c>
      <c r="E39" s="4">
        <v>10</v>
      </c>
    </row>
    <row r="40" spans="1:7" x14ac:dyDescent="0.15">
      <c r="B40" t="s">
        <v>113</v>
      </c>
      <c r="E40" s="4">
        <f>E23</f>
        <v>251.796875</v>
      </c>
    </row>
    <row r="43" spans="1:7" x14ac:dyDescent="0.15">
      <c r="A43" s="7" t="s">
        <v>116</v>
      </c>
    </row>
    <row r="44" spans="1:7" x14ac:dyDescent="0.15">
      <c r="B44" t="s">
        <v>128</v>
      </c>
      <c r="E44" s="15">
        <f>SUM(E45:E47)</f>
        <v>7867.390625</v>
      </c>
      <c r="F44" s="12" t="s">
        <v>117</v>
      </c>
      <c r="G44" t="s">
        <v>118</v>
      </c>
    </row>
    <row r="45" spans="1:7" x14ac:dyDescent="0.15">
      <c r="B45" t="s">
        <v>122</v>
      </c>
      <c r="E45" s="4">
        <v>918</v>
      </c>
      <c r="F45" s="12" t="s">
        <v>114</v>
      </c>
    </row>
    <row r="46" spans="1:7" x14ac:dyDescent="0.15">
      <c r="B46" t="s">
        <v>86</v>
      </c>
      <c r="E46" s="4">
        <v>100</v>
      </c>
    </row>
    <row r="47" spans="1:7" x14ac:dyDescent="0.15">
      <c r="B47" t="s">
        <v>111</v>
      </c>
      <c r="E47" s="16">
        <f>E34</f>
        <v>6849.390625</v>
      </c>
      <c r="F47" s="12" t="s">
        <v>129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B21" sqref="B21"/>
    </sheetView>
  </sheetViews>
  <sheetFormatPr defaultRowHeight="13.5" x14ac:dyDescent="0.15"/>
  <cols>
    <col min="2" max="2" width="18.875" customWidth="1"/>
  </cols>
  <sheetData>
    <row r="3" spans="2:3" x14ac:dyDescent="0.15">
      <c r="B3" s="9" t="s">
        <v>68</v>
      </c>
    </row>
    <row r="5" spans="2:3" x14ac:dyDescent="0.15">
      <c r="B5" t="s">
        <v>70</v>
      </c>
      <c r="C5" t="s">
        <v>71</v>
      </c>
    </row>
    <row r="10" spans="2:3" x14ac:dyDescent="0.15">
      <c r="B10" t="s">
        <v>72</v>
      </c>
      <c r="C10" t="s">
        <v>74</v>
      </c>
    </row>
    <row r="11" spans="2:3" x14ac:dyDescent="0.15">
      <c r="B11" t="s">
        <v>73</v>
      </c>
      <c r="C11" t="s">
        <v>75</v>
      </c>
    </row>
    <row r="15" spans="2:3" x14ac:dyDescent="0.15">
      <c r="B15" t="s">
        <v>70</v>
      </c>
      <c r="C15" t="s">
        <v>76</v>
      </c>
    </row>
    <row r="16" spans="2:3" x14ac:dyDescent="0.15">
      <c r="B16" t="s">
        <v>77</v>
      </c>
      <c r="C16" t="s">
        <v>78</v>
      </c>
    </row>
    <row r="17" spans="2:3" x14ac:dyDescent="0.15">
      <c r="B17" t="s">
        <v>79</v>
      </c>
      <c r="C17" t="s">
        <v>80</v>
      </c>
    </row>
    <row r="26" spans="2:3" x14ac:dyDescent="0.15">
      <c r="B26" s="9" t="s">
        <v>69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G26" sqref="G26"/>
    </sheetView>
  </sheetViews>
  <sheetFormatPr defaultRowHeight="13.5" x14ac:dyDescent="0.15"/>
  <cols>
    <col min="1" max="1" width="25.625" customWidth="1"/>
  </cols>
  <sheetData>
    <row r="2" spans="1:3" x14ac:dyDescent="0.15">
      <c r="A2" t="s">
        <v>185</v>
      </c>
      <c r="B2">
        <v>96</v>
      </c>
    </row>
    <row r="3" spans="1:3" x14ac:dyDescent="0.15">
      <c r="A3" t="s">
        <v>186</v>
      </c>
      <c r="B3">
        <v>73</v>
      </c>
    </row>
    <row r="4" spans="1:3" x14ac:dyDescent="0.15">
      <c r="A4" t="s">
        <v>187</v>
      </c>
      <c r="B4">
        <v>73</v>
      </c>
    </row>
    <row r="7" spans="1:3" x14ac:dyDescent="0.15">
      <c r="A7" t="s">
        <v>188</v>
      </c>
      <c r="B7" s="4">
        <v>12266</v>
      </c>
      <c r="C7" s="4">
        <f>B2*128-B7</f>
        <v>22</v>
      </c>
    </row>
    <row r="8" spans="1:3" x14ac:dyDescent="0.15">
      <c r="A8" t="s">
        <v>189</v>
      </c>
      <c r="B8" s="4">
        <v>9252</v>
      </c>
      <c r="C8" s="4">
        <f t="shared" ref="C8:C9" si="0">B3*128-B8</f>
        <v>92</v>
      </c>
    </row>
    <row r="9" spans="1:3" x14ac:dyDescent="0.15">
      <c r="A9" t="s">
        <v>190</v>
      </c>
      <c r="B9" s="4">
        <v>2401</v>
      </c>
      <c r="C9" s="4">
        <f t="shared" si="0"/>
        <v>6943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107mem</vt:lpstr>
      <vt:lpstr>107vm</vt:lpstr>
      <vt:lpstr>app</vt:lpstr>
      <vt:lpstr>107flash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2023-05-18T10:05:44Z</dcterms:modified>
</cp:coreProperties>
</file>