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hall/doortmp/garagedoor/trunk/Hardware/v1AdafruitBLE/"/>
    </mc:Choice>
  </mc:AlternateContent>
  <bookViews>
    <workbookView xWindow="1140" yWindow="480" windowWidth="26960" windowHeight="16100" tabRatio="500" activeTab="1"/>
  </bookViews>
  <sheets>
    <sheet name="Parts" sheetId="1" r:id="rId1"/>
    <sheet name="actual costs" sheetId="7" r:id="rId2"/>
    <sheet name="crystal caps" sheetId="6" r:id="rId3"/>
    <sheet name="led series resistor" sheetId="5" r:id="rId4"/>
    <sheet name="base resistor calc" sheetId="3" r:id="rId5"/>
    <sheet name="convert amps" sheetId="4" r:id="rId6"/>
  </sheets>
  <definedNames>
    <definedName name="_xlnm.Print_Area" localSheetId="0">Parts!$C$1:$K$29</definedName>
    <definedName name="v1garagedoor" localSheetId="0">Parts!$A$1:$H$23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7" l="1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O32" i="7"/>
  <c r="H9" i="7"/>
  <c r="N29" i="7"/>
  <c r="F8" i="7"/>
  <c r="F9" i="7"/>
  <c r="F11" i="7"/>
  <c r="F12" i="7"/>
  <c r="D8" i="7"/>
  <c r="P29" i="7"/>
  <c r="O26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7" i="7"/>
  <c r="O28" i="7"/>
  <c r="O29" i="7"/>
  <c r="N3" i="1"/>
  <c r="K3" i="1"/>
  <c r="N4" i="1"/>
  <c r="N20" i="1"/>
  <c r="N14" i="1"/>
  <c r="N29" i="1"/>
  <c r="N28" i="1"/>
  <c r="N26" i="1"/>
  <c r="N25" i="1"/>
  <c r="N24" i="1"/>
  <c r="N23" i="1"/>
  <c r="N22" i="1"/>
  <c r="N21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" i="1"/>
  <c r="E33" i="3"/>
  <c r="D13" i="6"/>
  <c r="D7" i="6"/>
  <c r="D20" i="5"/>
  <c r="F20" i="5"/>
  <c r="E20" i="5"/>
  <c r="E10" i="5"/>
  <c r="D11" i="5"/>
  <c r="G22" i="3"/>
  <c r="E24" i="3"/>
  <c r="G24" i="3"/>
  <c r="C6" i="4"/>
  <c r="C5" i="4"/>
  <c r="C10" i="4"/>
  <c r="B10" i="4"/>
  <c r="C9" i="4"/>
  <c r="B9" i="4"/>
  <c r="C8" i="4"/>
  <c r="B8" i="4"/>
  <c r="C7" i="4"/>
  <c r="B7" i="4"/>
  <c r="B6" i="4"/>
  <c r="B5" i="4"/>
  <c r="C4" i="4"/>
  <c r="B4" i="4"/>
  <c r="C3" i="4"/>
  <c r="B3" i="4"/>
  <c r="E28" i="3"/>
  <c r="F24" i="3"/>
  <c r="J33" i="1"/>
  <c r="K17" i="1"/>
  <c r="K26" i="1"/>
  <c r="K28" i="1"/>
  <c r="K4" i="1"/>
  <c r="K20" i="1"/>
  <c r="K14" i="1"/>
  <c r="K6" i="1"/>
  <c r="K15" i="1"/>
  <c r="K29" i="1"/>
  <c r="K25" i="1"/>
  <c r="K13" i="1"/>
  <c r="K12" i="1"/>
  <c r="K11" i="1"/>
  <c r="K10" i="1"/>
  <c r="K9" i="1"/>
  <c r="K24" i="1"/>
  <c r="K23" i="1"/>
  <c r="K22" i="1"/>
  <c r="K21" i="1"/>
  <c r="K19" i="1"/>
  <c r="K18" i="1"/>
  <c r="K16" i="1"/>
  <c r="K8" i="1"/>
  <c r="K7" i="1"/>
  <c r="K5" i="1"/>
  <c r="K2" i="1"/>
</calcChain>
</file>

<file path=xl/connections.xml><?xml version="1.0" encoding="utf-8"?>
<connections xmlns="http://schemas.openxmlformats.org/spreadsheetml/2006/main">
  <connection id="1" name="v1garagedoor" type="6" refreshedVersion="0" background="1" saveData="1">
    <textPr fileType="mac" sourceFile="/Users/phall/Documents/eagle/GaragedoorOpener/Garagedoor/v1garagedoor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<sst xmlns="http://schemas.openxmlformats.org/spreadsheetml/2006/main" count="277" uniqueCount="227">
  <si>
    <t>Part</t>
  </si>
  <si>
    <t>Value</t>
  </si>
  <si>
    <t>Device</t>
  </si>
  <si>
    <t>Package</t>
  </si>
  <si>
    <t>Description</t>
  </si>
  <si>
    <t>MOUSER</t>
  </si>
  <si>
    <t>C1</t>
  </si>
  <si>
    <t>CAPPTH1</t>
  </si>
  <si>
    <t>CAP-PTH-5MM</t>
  </si>
  <si>
    <t>.33uF</t>
  </si>
  <si>
    <t>CAPKIT</t>
  </si>
  <si>
    <t>CAP-PTH-SMALL-KIT</t>
  </si>
  <si>
    <t>1N4004</t>
  </si>
  <si>
    <t>DO41-10</t>
  </si>
  <si>
    <t>DIODE</t>
  </si>
  <si>
    <t>621-1N4004</t>
  </si>
  <si>
    <t>IC1</t>
  </si>
  <si>
    <t>78V</t>
  </si>
  <si>
    <t>TO220V</t>
  </si>
  <si>
    <t>JP1</t>
  </si>
  <si>
    <t>ISP</t>
  </si>
  <si>
    <t>M03X2NO_SILK</t>
  </si>
  <si>
    <t>2X3-NS</t>
  </si>
  <si>
    <t>2x3 .1 header."</t>
  </si>
  <si>
    <t>571-5-146252-3</t>
  </si>
  <si>
    <t>JP2</t>
  </si>
  <si>
    <t>adafruit nrf8001</t>
  </si>
  <si>
    <t>M10SILK_FEMALE_PTH</t>
  </si>
  <si>
    <t>1X10</t>
  </si>
  <si>
    <t>992-10FX1-254MM</t>
  </si>
  <si>
    <t>JP3</t>
  </si>
  <si>
    <t>programmer</t>
  </si>
  <si>
    <t>M06NO_SILK_FEMALE_PTH</t>
  </si>
  <si>
    <t>1X06_NO_SILK</t>
  </si>
  <si>
    <t>Header 6</t>
  </si>
  <si>
    <t>JP4</t>
  </si>
  <si>
    <t>test point relay</t>
  </si>
  <si>
    <t>M03LOCK</t>
  </si>
  <si>
    <t>1X03_LOCK</t>
  </si>
  <si>
    <t>Header 3</t>
  </si>
  <si>
    <t>JP5</t>
  </si>
  <si>
    <t>analog pins</t>
  </si>
  <si>
    <t>M08SILK_FEMALE_PTH</t>
  </si>
  <si>
    <t>1X08</t>
  </si>
  <si>
    <t>Header 8</t>
  </si>
  <si>
    <t>JP7</t>
  </si>
  <si>
    <t>digital pins</t>
  </si>
  <si>
    <t>JP8</t>
  </si>
  <si>
    <t>screw terminal</t>
  </si>
  <si>
    <t>M03SCREW</t>
  </si>
  <si>
    <t>SCREWTERMINAL-3.5MM-3</t>
  </si>
  <si>
    <t>LED</t>
  </si>
  <si>
    <t>5mm</t>
  </si>
  <si>
    <t>LED5MM</t>
  </si>
  <si>
    <t>Q1</t>
  </si>
  <si>
    <t>2N3904</t>
  </si>
  <si>
    <t>TRANSISTOR_NPN2N3904</t>
  </si>
  <si>
    <t>TO-92</t>
  </si>
  <si>
    <t>Generic NPN BJT</t>
  </si>
  <si>
    <t>10K</t>
  </si>
  <si>
    <t>RESISTORAXIAL-0.3</t>
  </si>
  <si>
    <t>AXIAL-0.3</t>
  </si>
  <si>
    <t>603-CFR-25JR-5210K</t>
  </si>
  <si>
    <t>R3</t>
  </si>
  <si>
    <t>603-CFR-25JR-52220R</t>
  </si>
  <si>
    <t>RELAY</t>
  </si>
  <si>
    <t>relay</t>
  </si>
  <si>
    <t>ZF112</t>
  </si>
  <si>
    <t>655-ORWH-SH105D1F000</t>
  </si>
  <si>
    <t>S3</t>
  </si>
  <si>
    <t>SWITCH-MOMENTARY-2PTH</t>
  </si>
  <si>
    <t>TACTILE-PTH</t>
  </si>
  <si>
    <t>Various NO switches- pushbuttons, reed, etc</t>
  </si>
  <si>
    <t>693-1301.9301</t>
  </si>
  <si>
    <t>U$1</t>
  </si>
  <si>
    <t>2.1MMJACKTHM</t>
  </si>
  <si>
    <t>PJ-102A</t>
  </si>
  <si>
    <t>2.1mm x 5.5mm THM DC jack with internal switch. Digikey part #PJ-102A, 4UCON part #05537</t>
  </si>
  <si>
    <t>992-CON-SOCJ-2155</t>
  </si>
  <si>
    <t>U1</t>
  </si>
  <si>
    <t>ATMEGA328P_PDIP</t>
  </si>
  <si>
    <t>DIL28-3</t>
  </si>
  <si>
    <t>uC used in the Arduino</t>
  </si>
  <si>
    <t>556-ATMEGA328P-PU</t>
  </si>
  <si>
    <t>X1</t>
  </si>
  <si>
    <t>16mhz</t>
  </si>
  <si>
    <t>CRYSTALTC38H</t>
  </si>
  <si>
    <t>TC38H</t>
  </si>
  <si>
    <t>520-160-20-46X</t>
  </si>
  <si>
    <t>unit cost</t>
  </si>
  <si>
    <t>485-1697</t>
  </si>
  <si>
    <t>Bluetooth / 802.15.1 Development Tools Bluetooth Low Energy nRF8001 breakout</t>
  </si>
  <si>
    <t>Required</t>
  </si>
  <si>
    <t>Optional</t>
  </si>
  <si>
    <t>product cost</t>
  </si>
  <si>
    <t>Circuit Board</t>
  </si>
  <si>
    <t>v1garagedoor.brd</t>
  </si>
  <si>
    <t>571-514376524</t>
  </si>
  <si>
    <t>Barrier Terminal Blocks 3P TRI-BARRIER .375"</t>
  </si>
  <si>
    <t>517-4828-3004-CP</t>
  </si>
  <si>
    <t>IC &amp; Component Sockets SOCKET 28POS .3" IC OPEN FRAME</t>
  </si>
  <si>
    <t>0.33uF Capacitor</t>
  </si>
  <si>
    <t>10K Resistor</t>
  </si>
  <si>
    <t>220 Resistor</t>
  </si>
  <si>
    <t>16 MHz ECS Crystal 20pF</t>
  </si>
  <si>
    <t>mA</t>
  </si>
  <si>
    <t>IC</t>
  </si>
  <si>
    <t>HFE</t>
  </si>
  <si>
    <t>IB</t>
  </si>
  <si>
    <t>VIN</t>
  </si>
  <si>
    <t>VBE</t>
  </si>
  <si>
    <t>RB</t>
  </si>
  <si>
    <t>Amps</t>
  </si>
  <si>
    <t>uA</t>
  </si>
  <si>
    <t>A</t>
  </si>
  <si>
    <t>Calculate the base resistor</t>
  </si>
  <si>
    <t>Reference :</t>
  </si>
  <si>
    <t>http://www.electronics-tutorials.ws/transistor/tran_4.html</t>
  </si>
  <si>
    <t>Transistor as a Switch</t>
  </si>
  <si>
    <t xml:space="preserve">Supply HFE,VIN,VBE from the datasheet and your Ic from your circuit </t>
  </si>
  <si>
    <t>VS</t>
  </si>
  <si>
    <t>VF</t>
  </si>
  <si>
    <t>IF</t>
  </si>
  <si>
    <t>RS</t>
  </si>
  <si>
    <t>Calculate series resistor</t>
  </si>
  <si>
    <t>Supply VF,IF from the led datasheet and VS for your circuit</t>
  </si>
  <si>
    <t>Reference:</t>
  </si>
  <si>
    <t>http://www.electronics-tutorials.ws/diode/diode_8.html</t>
  </si>
  <si>
    <t>Calculate forward Current</t>
  </si>
  <si>
    <t>C2</t>
  </si>
  <si>
    <t>CL</t>
  </si>
  <si>
    <t>Cstray</t>
  </si>
  <si>
    <t>Rule of thumb estimate</t>
  </si>
  <si>
    <t>pF</t>
  </si>
  <si>
    <t>https://blog.adafruit.com/2012/01/24/choosing-the-right-crystal-and-caps-for-your-design/</t>
  </si>
  <si>
    <t>choosing the right caps, supply the stray capacitance, then the C1 and C2 capacitance, CL will be the datasheet Load Capacitance</t>
  </si>
  <si>
    <t>try to get this value as close to the datasheet CL value</t>
  </si>
  <si>
    <t>Use this to get you started, enter the Cstray and the datasheet CL value</t>
  </si>
  <si>
    <t>Cstray should be somewhere around 2pF to 5pF</t>
  </si>
  <si>
    <t>watts</t>
  </si>
  <si>
    <t>291-2.4K-RC</t>
  </si>
  <si>
    <t>MANF</t>
  </si>
  <si>
    <t>CFR-25JR-52-10K</t>
  </si>
  <si>
    <t>10Fx1-254mm</t>
  </si>
  <si>
    <t>5-146252-3</t>
  </si>
  <si>
    <t>1N4004-T</t>
  </si>
  <si>
    <t>CFR-25JR-52-220R</t>
  </si>
  <si>
    <t>ORWH-SH-105D1F,000</t>
  </si>
  <si>
    <t>CON-SOCJ-2155</t>
  </si>
  <si>
    <t>ATMEGA328P-PU</t>
  </si>
  <si>
    <t>ECS-160-20-46X</t>
  </si>
  <si>
    <t>6PCV-03-006</t>
  </si>
  <si>
    <t>4828-3004-CP</t>
  </si>
  <si>
    <t>OSH Park</t>
  </si>
  <si>
    <t>DIGIKEY</t>
  </si>
  <si>
    <t>Unit Cost</t>
  </si>
  <si>
    <t>445-5306-ND</t>
  </si>
  <si>
    <t>1265PH-ND</t>
  </si>
  <si>
    <t>1N4004DICT-ND</t>
  </si>
  <si>
    <t>MC7805CTGOS-ND</t>
  </si>
  <si>
    <t>5-146252-3-ND</t>
  </si>
  <si>
    <t>2N3904FS-ND</t>
  </si>
  <si>
    <t>2K4 Resistor</t>
  </si>
  <si>
    <t>PB2032-ND</t>
  </si>
  <si>
    <t>ATMEGA328P-PU-ND</t>
  </si>
  <si>
    <t>XC1759-ND</t>
  </si>
  <si>
    <t>1528-1199-ND</t>
  </si>
  <si>
    <t>A98482-ND</t>
  </si>
  <si>
    <t>3M5480-ND</t>
  </si>
  <si>
    <t>CF14JT2K40CT-ND</t>
  </si>
  <si>
    <t>CF14JT220RCT-ND</t>
  </si>
  <si>
    <t>1301.9301-ND,486-1943-ND</t>
  </si>
  <si>
    <t>CP-102A-ND</t>
  </si>
  <si>
    <t>10KQBK-ND</t>
  </si>
  <si>
    <t>SAM1119-10-ND</t>
  </si>
  <si>
    <t>0.1uF</t>
  </si>
  <si>
    <t>21RZ310-RC</t>
  </si>
  <si>
    <t>0.1uF Capacitor decoupling</t>
  </si>
  <si>
    <t>478-5741-ND</t>
  </si>
  <si>
    <t>1C10C0G330J050B</t>
  </si>
  <si>
    <t>75-1C10C0G330J050B</t>
  </si>
  <si>
    <t>33pF Capacitor</t>
  </si>
  <si>
    <t>33pF</t>
  </si>
  <si>
    <t>C1/C2</t>
  </si>
  <si>
    <t>C6/C7</t>
  </si>
  <si>
    <t>C3/C4</t>
  </si>
  <si>
    <t>D1/D2</t>
  </si>
  <si>
    <t>R1/R2</t>
  </si>
  <si>
    <t>R4</t>
  </si>
  <si>
    <t>2.4K</t>
  </si>
  <si>
    <t>220</t>
  </si>
  <si>
    <t>FK18X7R1E334K</t>
  </si>
  <si>
    <t>810-FK18X7R1E334K</t>
  </si>
  <si>
    <t>859-LTL2R3KGD-EM</t>
  </si>
  <si>
    <t>LTL2R3KGD-EM</t>
  </si>
  <si>
    <t>LED green 1.8Fv 5mm round bulb</t>
  </si>
  <si>
    <t>160-1852-ND</t>
  </si>
  <si>
    <t>NCP7805TG</t>
  </si>
  <si>
    <t>863-NCP7805TG</t>
  </si>
  <si>
    <t>7805</t>
  </si>
  <si>
    <t>Positive VOLTAGE REGULATOR 5v</t>
  </si>
  <si>
    <t>Header 10, .1 female</t>
  </si>
  <si>
    <t>2N3904BU</t>
  </si>
  <si>
    <t>512-2N3904BU</t>
  </si>
  <si>
    <t>Circuit boards</t>
  </si>
  <si>
    <t>units</t>
  </si>
  <si>
    <t>total</t>
  </si>
  <si>
    <t>single unit cost</t>
  </si>
  <si>
    <t>unit cost (100 min)</t>
  </si>
  <si>
    <t>588-ON2215E-R58</t>
  </si>
  <si>
    <t>part</t>
  </si>
  <si>
    <t>substitute part</t>
  </si>
  <si>
    <t>693-1301.9303</t>
  </si>
  <si>
    <t>502-RAPC722X</t>
  </si>
  <si>
    <t>sale price</t>
  </si>
  <si>
    <t>cost per unit</t>
  </si>
  <si>
    <t>percent profit</t>
  </si>
  <si>
    <t>100 units sale price</t>
  </si>
  <si>
    <t>100 units cost price</t>
  </si>
  <si>
    <t>100 units profit</t>
  </si>
  <si>
    <t>profit / unit cost</t>
  </si>
  <si>
    <t>809-37705</t>
  </si>
  <si>
    <t>cost saving</t>
  </si>
  <si>
    <t>anti-static sponge</t>
  </si>
  <si>
    <t>517-10046</t>
  </si>
  <si>
    <t>anti-static bag</t>
  </si>
  <si>
    <t>miscellaneous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</si>
</sst>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Arial"/>
    </font>
    <font>
      <sz val="8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0" fontId="0" fillId="0" borderId="0" xfId="0" applyProtection="1"/>
    <xf numFmtId="0" fontId="4" fillId="4" borderId="1" xfId="1" applyProtection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7" fillId="0" borderId="0" xfId="0" applyFont="1"/>
    <xf numFmtId="2" fontId="7" fillId="0" borderId="0" xfId="0" applyNumberFormat="1" applyFont="1"/>
    <xf numFmtId="0" fontId="0" fillId="0" borderId="0" xfId="0" quotePrefix="1"/>
    <xf numFmtId="165" fontId="2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6">
    <cellStyle name="Calculation" xfId="1" builtinId="22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1garagedo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3"/>
  <sheetViews>
    <sheetView showRuler="0" topLeftCell="B1" zoomScale="80" zoomScaleNormal="80" zoomScalePageLayoutView="80" workbookViewId="0">
      <selection activeCell="G2" sqref="G2:G26"/>
    </sheetView>
  </sheetViews>
  <sheetFormatPr baseColWidth="10" defaultRowHeight="16" x14ac:dyDescent="0.2"/>
  <cols>
    <col min="1" max="1" width="6.1640625" bestFit="1" customWidth="1"/>
    <col min="2" max="3" width="24.33203125" bestFit="1" customWidth="1"/>
    <col min="4" max="4" width="23.6640625" bestFit="1" customWidth="1"/>
    <col min="5" max="5" width="77.5" bestFit="1" customWidth="1"/>
    <col min="6" max="6" width="21.83203125" customWidth="1"/>
    <col min="7" max="7" width="22.1640625" bestFit="1" customWidth="1"/>
    <col min="12" max="12" width="26.6640625" bestFit="1" customWidth="1"/>
  </cols>
  <sheetData>
    <row r="1" spans="1:14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141</v>
      </c>
      <c r="G1" s="4" t="s">
        <v>5</v>
      </c>
      <c r="H1" s="4" t="s">
        <v>92</v>
      </c>
      <c r="I1" s="4" t="s">
        <v>93</v>
      </c>
      <c r="J1" s="4" t="s">
        <v>89</v>
      </c>
      <c r="K1" s="4" t="s">
        <v>94</v>
      </c>
      <c r="L1" s="4" t="s">
        <v>154</v>
      </c>
      <c r="M1" s="4" t="s">
        <v>155</v>
      </c>
      <c r="N1" s="4" t="s">
        <v>94</v>
      </c>
    </row>
    <row r="2" spans="1:14" x14ac:dyDescent="0.2">
      <c r="A2" t="s">
        <v>183</v>
      </c>
      <c r="B2" t="s">
        <v>182</v>
      </c>
      <c r="C2" t="s">
        <v>7</v>
      </c>
      <c r="D2" t="s">
        <v>8</v>
      </c>
      <c r="E2" t="s">
        <v>181</v>
      </c>
      <c r="F2" s="11" t="s">
        <v>179</v>
      </c>
      <c r="G2" s="1" t="s">
        <v>180</v>
      </c>
      <c r="H2">
        <v>2</v>
      </c>
      <c r="J2" s="2">
        <v>0.15</v>
      </c>
      <c r="K2" s="2">
        <f>+H2*J2</f>
        <v>0.3</v>
      </c>
      <c r="L2" s="11" t="s">
        <v>157</v>
      </c>
      <c r="M2" s="2">
        <v>0.31</v>
      </c>
      <c r="N2" s="2">
        <f>+M2*H2</f>
        <v>0.62</v>
      </c>
    </row>
    <row r="3" spans="1:14" x14ac:dyDescent="0.2">
      <c r="A3" t="s">
        <v>184</v>
      </c>
      <c r="B3" t="s">
        <v>175</v>
      </c>
      <c r="E3" t="s">
        <v>177</v>
      </c>
      <c r="F3" s="11" t="s">
        <v>176</v>
      </c>
      <c r="G3" s="11" t="s">
        <v>176</v>
      </c>
      <c r="H3">
        <v>2</v>
      </c>
      <c r="J3" s="2">
        <v>0.08</v>
      </c>
      <c r="K3" s="2">
        <f>+H3*J3</f>
        <v>0.16</v>
      </c>
      <c r="L3" s="11" t="s">
        <v>178</v>
      </c>
      <c r="M3" s="2">
        <v>0.24</v>
      </c>
      <c r="N3" s="2">
        <f>+M3*H3</f>
        <v>0.48</v>
      </c>
    </row>
    <row r="4" spans="1:14" x14ac:dyDescent="0.2">
      <c r="A4" t="s">
        <v>185</v>
      </c>
      <c r="B4" t="s">
        <v>9</v>
      </c>
      <c r="C4" t="s">
        <v>10</v>
      </c>
      <c r="D4" t="s">
        <v>11</v>
      </c>
      <c r="E4" t="s">
        <v>101</v>
      </c>
      <c r="F4" s="11" t="s">
        <v>191</v>
      </c>
      <c r="G4" s="1" t="s">
        <v>192</v>
      </c>
      <c r="H4">
        <v>2</v>
      </c>
      <c r="J4" s="2">
        <v>0.31</v>
      </c>
      <c r="K4" s="2">
        <f t="shared" ref="K4:K26" si="0">+H4*J4</f>
        <v>0.62</v>
      </c>
      <c r="L4" s="11" t="s">
        <v>156</v>
      </c>
      <c r="M4" s="2">
        <v>0.32</v>
      </c>
      <c r="N4" s="2">
        <f t="shared" ref="N4:N26" si="1">+M4*H4</f>
        <v>0.64</v>
      </c>
    </row>
    <row r="5" spans="1:14" x14ac:dyDescent="0.2">
      <c r="A5" t="s">
        <v>186</v>
      </c>
      <c r="B5" t="s">
        <v>12</v>
      </c>
      <c r="C5" t="s">
        <v>12</v>
      </c>
      <c r="D5" t="s">
        <v>13</v>
      </c>
      <c r="E5" t="s">
        <v>14</v>
      </c>
      <c r="F5" s="11" t="s">
        <v>145</v>
      </c>
      <c r="G5" t="s">
        <v>15</v>
      </c>
      <c r="H5">
        <v>2</v>
      </c>
      <c r="J5" s="2">
        <v>0.13</v>
      </c>
      <c r="K5" s="2">
        <f t="shared" si="0"/>
        <v>0.26</v>
      </c>
      <c r="L5" s="11" t="s">
        <v>158</v>
      </c>
      <c r="M5" s="2">
        <v>0.13</v>
      </c>
      <c r="N5" s="2">
        <f t="shared" si="1"/>
        <v>0.26</v>
      </c>
    </row>
    <row r="6" spans="1:14" x14ac:dyDescent="0.2">
      <c r="A6" t="s">
        <v>16</v>
      </c>
      <c r="B6" s="13" t="s">
        <v>199</v>
      </c>
      <c r="C6" t="s">
        <v>17</v>
      </c>
      <c r="D6" t="s">
        <v>18</v>
      </c>
      <c r="E6" t="s">
        <v>200</v>
      </c>
      <c r="F6" s="11" t="s">
        <v>197</v>
      </c>
      <c r="G6" s="1" t="s">
        <v>198</v>
      </c>
      <c r="H6">
        <v>1</v>
      </c>
      <c r="J6" s="2">
        <v>0.47</v>
      </c>
      <c r="K6" s="2">
        <f t="shared" si="0"/>
        <v>0.47</v>
      </c>
      <c r="L6" s="11" t="s">
        <v>159</v>
      </c>
      <c r="M6" s="2">
        <v>0.45</v>
      </c>
      <c r="N6" s="2">
        <f t="shared" si="1"/>
        <v>0.45</v>
      </c>
    </row>
    <row r="7" spans="1:14" x14ac:dyDescent="0.2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11" t="s">
        <v>144</v>
      </c>
      <c r="G7" t="s">
        <v>24</v>
      </c>
      <c r="H7">
        <v>1</v>
      </c>
      <c r="J7" s="2">
        <v>0.42</v>
      </c>
      <c r="K7" s="2">
        <f t="shared" si="0"/>
        <v>0.42</v>
      </c>
      <c r="L7" s="11" t="s">
        <v>160</v>
      </c>
      <c r="M7" s="2">
        <v>0.42</v>
      </c>
      <c r="N7" s="2">
        <f t="shared" si="1"/>
        <v>0.42</v>
      </c>
    </row>
    <row r="8" spans="1:14" x14ac:dyDescent="0.2">
      <c r="A8" t="s">
        <v>25</v>
      </c>
      <c r="B8" t="s">
        <v>26</v>
      </c>
      <c r="C8" t="s">
        <v>27</v>
      </c>
      <c r="D8" t="s">
        <v>28</v>
      </c>
      <c r="E8" t="s">
        <v>201</v>
      </c>
      <c r="F8" s="11" t="s">
        <v>143</v>
      </c>
      <c r="G8" t="s">
        <v>29</v>
      </c>
      <c r="H8">
        <v>1</v>
      </c>
      <c r="J8" s="2">
        <v>0.7</v>
      </c>
      <c r="K8" s="2">
        <f t="shared" si="0"/>
        <v>0.7</v>
      </c>
      <c r="L8" s="11" t="s">
        <v>174</v>
      </c>
      <c r="M8" s="2">
        <v>1.06</v>
      </c>
      <c r="N8" s="2">
        <f t="shared" si="1"/>
        <v>1.06</v>
      </c>
    </row>
    <row r="9" spans="1:14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H9">
        <v>0</v>
      </c>
      <c r="I9">
        <v>1</v>
      </c>
      <c r="J9" s="2"/>
      <c r="K9" s="2">
        <f t="shared" si="0"/>
        <v>0</v>
      </c>
      <c r="M9" s="2"/>
      <c r="N9" s="2">
        <f t="shared" si="1"/>
        <v>0</v>
      </c>
    </row>
    <row r="10" spans="1:14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H10">
        <v>0</v>
      </c>
      <c r="I10">
        <v>1</v>
      </c>
      <c r="J10" s="2"/>
      <c r="K10" s="2">
        <f t="shared" si="0"/>
        <v>0</v>
      </c>
      <c r="M10" s="2"/>
      <c r="N10" s="2">
        <f t="shared" si="1"/>
        <v>0</v>
      </c>
    </row>
    <row r="11" spans="1:14" x14ac:dyDescent="0.2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H11">
        <v>0</v>
      </c>
      <c r="I11">
        <v>1</v>
      </c>
      <c r="J11" s="2"/>
      <c r="K11" s="2">
        <f t="shared" si="0"/>
        <v>0</v>
      </c>
      <c r="M11" s="2"/>
      <c r="N11" s="2">
        <f t="shared" si="1"/>
        <v>0</v>
      </c>
    </row>
    <row r="12" spans="1:14" x14ac:dyDescent="0.2">
      <c r="A12" t="s">
        <v>45</v>
      </c>
      <c r="B12" t="s">
        <v>46</v>
      </c>
      <c r="C12" t="s">
        <v>32</v>
      </c>
      <c r="D12" t="s">
        <v>33</v>
      </c>
      <c r="E12" t="s">
        <v>34</v>
      </c>
      <c r="H12">
        <v>0</v>
      </c>
      <c r="I12">
        <v>1</v>
      </c>
      <c r="J12" s="2"/>
      <c r="K12" s="2">
        <f t="shared" si="0"/>
        <v>0</v>
      </c>
      <c r="M12" s="2"/>
      <c r="N12" s="2">
        <f t="shared" si="1"/>
        <v>0</v>
      </c>
    </row>
    <row r="13" spans="1:14" x14ac:dyDescent="0.2">
      <c r="A13" t="s">
        <v>47</v>
      </c>
      <c r="B13" t="s">
        <v>48</v>
      </c>
      <c r="C13" t="s">
        <v>49</v>
      </c>
      <c r="D13" t="s">
        <v>50</v>
      </c>
      <c r="E13" t="s">
        <v>39</v>
      </c>
      <c r="H13">
        <v>0</v>
      </c>
      <c r="I13">
        <v>1</v>
      </c>
      <c r="J13" s="2"/>
      <c r="K13" s="2">
        <f t="shared" si="0"/>
        <v>0</v>
      </c>
      <c r="M13" s="2"/>
      <c r="N13" s="2">
        <f t="shared" si="1"/>
        <v>0</v>
      </c>
    </row>
    <row r="14" spans="1:14" x14ac:dyDescent="0.2">
      <c r="A14" t="s">
        <v>51</v>
      </c>
      <c r="B14" t="s">
        <v>52</v>
      </c>
      <c r="C14" t="s">
        <v>53</v>
      </c>
      <c r="D14" t="s">
        <v>53</v>
      </c>
      <c r="E14" t="s">
        <v>195</v>
      </c>
      <c r="F14" s="11" t="s">
        <v>194</v>
      </c>
      <c r="G14" s="1" t="s">
        <v>193</v>
      </c>
      <c r="H14">
        <v>1</v>
      </c>
      <c r="J14" s="2">
        <v>0.08</v>
      </c>
      <c r="K14" s="2">
        <f t="shared" si="0"/>
        <v>0.08</v>
      </c>
      <c r="L14" s="11" t="s">
        <v>196</v>
      </c>
      <c r="M14" s="12">
        <v>0.3</v>
      </c>
      <c r="N14" s="2">
        <f t="shared" si="1"/>
        <v>0.3</v>
      </c>
    </row>
    <row r="15" spans="1:14" x14ac:dyDescent="0.2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 s="11" t="s">
        <v>202</v>
      </c>
      <c r="G15" s="1" t="s">
        <v>203</v>
      </c>
      <c r="H15">
        <v>1</v>
      </c>
      <c r="J15" s="2">
        <v>0.19</v>
      </c>
      <c r="K15" s="2">
        <f t="shared" si="0"/>
        <v>0.19</v>
      </c>
      <c r="L15" s="11" t="s">
        <v>161</v>
      </c>
      <c r="M15" s="2">
        <v>0.18</v>
      </c>
      <c r="N15" s="2">
        <f t="shared" si="1"/>
        <v>0.18</v>
      </c>
    </row>
    <row r="16" spans="1:14" x14ac:dyDescent="0.2">
      <c r="A16" t="s">
        <v>187</v>
      </c>
      <c r="B16" t="s">
        <v>59</v>
      </c>
      <c r="C16" t="s">
        <v>60</v>
      </c>
      <c r="D16" t="s">
        <v>61</v>
      </c>
      <c r="E16" t="s">
        <v>102</v>
      </c>
      <c r="F16" s="11" t="s">
        <v>142</v>
      </c>
      <c r="G16" t="s">
        <v>62</v>
      </c>
      <c r="H16">
        <v>2</v>
      </c>
      <c r="J16" s="2">
        <v>0.1</v>
      </c>
      <c r="K16" s="2">
        <f t="shared" si="0"/>
        <v>0.2</v>
      </c>
      <c r="L16" s="11" t="s">
        <v>173</v>
      </c>
      <c r="M16" s="2">
        <v>0.1</v>
      </c>
      <c r="N16" s="2">
        <f t="shared" si="1"/>
        <v>0.2</v>
      </c>
    </row>
    <row r="17" spans="1:14" x14ac:dyDescent="0.2">
      <c r="A17" t="s">
        <v>188</v>
      </c>
      <c r="B17" t="s">
        <v>189</v>
      </c>
      <c r="C17" t="s">
        <v>60</v>
      </c>
      <c r="D17" t="s">
        <v>61</v>
      </c>
      <c r="E17" t="s">
        <v>162</v>
      </c>
      <c r="F17" s="11" t="s">
        <v>140</v>
      </c>
      <c r="G17" s="1" t="s">
        <v>140</v>
      </c>
      <c r="H17">
        <v>1</v>
      </c>
      <c r="J17" s="2">
        <v>0.1</v>
      </c>
      <c r="K17" s="2">
        <f t="shared" si="0"/>
        <v>0.1</v>
      </c>
      <c r="L17" s="11" t="s">
        <v>169</v>
      </c>
      <c r="M17" s="2">
        <v>0.1</v>
      </c>
      <c r="N17" s="2">
        <f t="shared" si="1"/>
        <v>0.1</v>
      </c>
    </row>
    <row r="18" spans="1:14" x14ac:dyDescent="0.2">
      <c r="A18" t="s">
        <v>63</v>
      </c>
      <c r="B18" s="13" t="s">
        <v>190</v>
      </c>
      <c r="C18" t="s">
        <v>60</v>
      </c>
      <c r="D18" t="s">
        <v>61</v>
      </c>
      <c r="E18" t="s">
        <v>103</v>
      </c>
      <c r="F18" s="11" t="s">
        <v>146</v>
      </c>
      <c r="G18" t="s">
        <v>64</v>
      </c>
      <c r="H18">
        <v>1</v>
      </c>
      <c r="J18" s="2">
        <v>0.1</v>
      </c>
      <c r="K18" s="2">
        <f t="shared" si="0"/>
        <v>0.1</v>
      </c>
      <c r="L18" s="11" t="s">
        <v>170</v>
      </c>
      <c r="M18" s="2">
        <v>0.1</v>
      </c>
      <c r="N18" s="2">
        <f t="shared" si="1"/>
        <v>0.1</v>
      </c>
    </row>
    <row r="19" spans="1:14" x14ac:dyDescent="0.2">
      <c r="A19" t="s">
        <v>65</v>
      </c>
      <c r="B19" t="s">
        <v>66</v>
      </c>
      <c r="C19" t="s">
        <v>67</v>
      </c>
      <c r="D19" t="s">
        <v>67</v>
      </c>
      <c r="E19" t="s">
        <v>65</v>
      </c>
      <c r="F19" s="11" t="s">
        <v>147</v>
      </c>
      <c r="G19" t="s">
        <v>68</v>
      </c>
      <c r="H19">
        <v>1</v>
      </c>
      <c r="J19" s="2">
        <v>1.22</v>
      </c>
      <c r="K19" s="2">
        <f t="shared" si="0"/>
        <v>1.22</v>
      </c>
      <c r="L19" s="11" t="s">
        <v>163</v>
      </c>
      <c r="M19" s="2">
        <v>1.46</v>
      </c>
      <c r="N19" s="2">
        <f t="shared" si="1"/>
        <v>1.46</v>
      </c>
    </row>
    <row r="20" spans="1:14" x14ac:dyDescent="0.2">
      <c r="A20" t="s">
        <v>69</v>
      </c>
      <c r="B20" t="s">
        <v>70</v>
      </c>
      <c r="C20" t="s">
        <v>70</v>
      </c>
      <c r="D20" t="s">
        <v>71</v>
      </c>
      <c r="E20" t="s">
        <v>72</v>
      </c>
      <c r="F20" s="11">
        <v>1301.9301</v>
      </c>
      <c r="G20" t="s">
        <v>73</v>
      </c>
      <c r="H20">
        <v>2</v>
      </c>
      <c r="I20">
        <v>0</v>
      </c>
      <c r="J20" s="2">
        <v>0.28000000000000003</v>
      </c>
      <c r="K20" s="2">
        <f t="shared" si="0"/>
        <v>0.56000000000000005</v>
      </c>
      <c r="L20" s="11" t="s">
        <v>171</v>
      </c>
      <c r="M20" s="2">
        <v>0.36</v>
      </c>
      <c r="N20" s="2">
        <f t="shared" si="1"/>
        <v>0.72</v>
      </c>
    </row>
    <row r="21" spans="1:14" x14ac:dyDescent="0.2">
      <c r="A21" t="s">
        <v>74</v>
      </c>
      <c r="B21" t="s">
        <v>75</v>
      </c>
      <c r="C21" t="s">
        <v>75</v>
      </c>
      <c r="D21" t="s">
        <v>76</v>
      </c>
      <c r="E21" t="s">
        <v>77</v>
      </c>
      <c r="F21" s="11" t="s">
        <v>148</v>
      </c>
      <c r="G21" t="s">
        <v>78</v>
      </c>
      <c r="H21">
        <v>1</v>
      </c>
      <c r="J21" s="2">
        <v>1</v>
      </c>
      <c r="K21" s="2">
        <f t="shared" si="0"/>
        <v>1</v>
      </c>
      <c r="L21" s="11" t="s">
        <v>172</v>
      </c>
      <c r="M21" s="2">
        <v>1</v>
      </c>
      <c r="N21" s="2">
        <f t="shared" si="1"/>
        <v>1</v>
      </c>
    </row>
    <row r="22" spans="1:14" x14ac:dyDescent="0.2">
      <c r="A22" t="s">
        <v>79</v>
      </c>
      <c r="B22" t="s">
        <v>80</v>
      </c>
      <c r="C22" t="s">
        <v>80</v>
      </c>
      <c r="D22" t="s">
        <v>81</v>
      </c>
      <c r="E22" t="s">
        <v>82</v>
      </c>
      <c r="F22" s="11" t="s">
        <v>149</v>
      </c>
      <c r="G22" t="s">
        <v>83</v>
      </c>
      <c r="H22">
        <v>1</v>
      </c>
      <c r="J22" s="2">
        <v>3.7</v>
      </c>
      <c r="K22" s="2">
        <f t="shared" si="0"/>
        <v>3.7</v>
      </c>
      <c r="L22" s="11" t="s">
        <v>164</v>
      </c>
      <c r="M22" s="2">
        <v>3.7</v>
      </c>
      <c r="N22" s="2">
        <f t="shared" si="1"/>
        <v>3.7</v>
      </c>
    </row>
    <row r="23" spans="1:14" x14ac:dyDescent="0.2">
      <c r="A23" t="s">
        <v>84</v>
      </c>
      <c r="B23" t="s">
        <v>85</v>
      </c>
      <c r="C23" t="s">
        <v>86</v>
      </c>
      <c r="D23" t="s">
        <v>87</v>
      </c>
      <c r="E23" t="s">
        <v>104</v>
      </c>
      <c r="F23" s="11" t="s">
        <v>150</v>
      </c>
      <c r="G23" t="s">
        <v>88</v>
      </c>
      <c r="H23">
        <v>1</v>
      </c>
      <c r="J23" s="2">
        <v>0.46</v>
      </c>
      <c r="K23" s="2">
        <f t="shared" si="0"/>
        <v>0.46</v>
      </c>
      <c r="L23" s="11" t="s">
        <v>165</v>
      </c>
      <c r="M23" s="2">
        <v>0.46</v>
      </c>
      <c r="N23" s="2">
        <f t="shared" si="1"/>
        <v>0.46</v>
      </c>
    </row>
    <row r="24" spans="1:14" x14ac:dyDescent="0.2">
      <c r="E24" s="1" t="s">
        <v>91</v>
      </c>
      <c r="F24" s="11">
        <v>1697</v>
      </c>
      <c r="G24" s="1" t="s">
        <v>90</v>
      </c>
      <c r="H24">
        <v>1</v>
      </c>
      <c r="J24" s="2">
        <v>19.95</v>
      </c>
      <c r="K24" s="2">
        <f t="shared" si="0"/>
        <v>19.95</v>
      </c>
      <c r="L24" s="11" t="s">
        <v>166</v>
      </c>
      <c r="M24" s="2">
        <v>19.95</v>
      </c>
      <c r="N24" s="2">
        <f t="shared" si="1"/>
        <v>19.95</v>
      </c>
    </row>
    <row r="25" spans="1:14" x14ac:dyDescent="0.2">
      <c r="E25" s="1" t="s">
        <v>98</v>
      </c>
      <c r="F25" s="11" t="s">
        <v>151</v>
      </c>
      <c r="G25" s="1" t="s">
        <v>97</v>
      </c>
      <c r="H25">
        <v>1</v>
      </c>
      <c r="J25" s="2">
        <v>1.42</v>
      </c>
      <c r="K25" s="2">
        <f t="shared" si="0"/>
        <v>1.42</v>
      </c>
      <c r="L25" s="11" t="s">
        <v>167</v>
      </c>
      <c r="M25" s="2">
        <v>1.42</v>
      </c>
      <c r="N25" s="2">
        <f t="shared" si="1"/>
        <v>1.42</v>
      </c>
    </row>
    <row r="26" spans="1:14" x14ac:dyDescent="0.2">
      <c r="E26" s="1" t="s">
        <v>100</v>
      </c>
      <c r="F26" s="11" t="s">
        <v>152</v>
      </c>
      <c r="G26" t="s">
        <v>99</v>
      </c>
      <c r="H26">
        <v>1</v>
      </c>
      <c r="J26" s="2">
        <v>0.77</v>
      </c>
      <c r="K26" s="2">
        <f t="shared" si="0"/>
        <v>0.77</v>
      </c>
      <c r="L26" s="11" t="s">
        <v>168</v>
      </c>
      <c r="M26" s="2">
        <v>0.77</v>
      </c>
      <c r="N26" s="2">
        <f t="shared" si="1"/>
        <v>0.77</v>
      </c>
    </row>
    <row r="28" spans="1:14" x14ac:dyDescent="0.2">
      <c r="E28" t="s">
        <v>95</v>
      </c>
      <c r="G28" t="s">
        <v>96</v>
      </c>
      <c r="H28">
        <v>1</v>
      </c>
      <c r="J28">
        <v>13.22</v>
      </c>
      <c r="K28" s="2">
        <f t="shared" ref="K28" si="2">+H28*J28</f>
        <v>13.22</v>
      </c>
      <c r="N28">
        <f>+J28</f>
        <v>13.22</v>
      </c>
    </row>
    <row r="29" spans="1:14" x14ac:dyDescent="0.2">
      <c r="K29" s="3">
        <f>SUM(K2:K28)</f>
        <v>45.900000000000006</v>
      </c>
      <c r="N29" s="7">
        <f>SUM(N2:N28)</f>
        <v>47.510000000000005</v>
      </c>
    </row>
    <row r="33" spans="5:10" x14ac:dyDescent="0.2">
      <c r="E33" t="s">
        <v>153</v>
      </c>
      <c r="J33">
        <f>13.22*3</f>
        <v>39.660000000000004</v>
      </c>
    </row>
  </sheetData>
  <phoneticPr fontId="3" type="noConversion"/>
  <conditionalFormatting sqref="J6">
    <cfRule type="cellIs" dxfId="38" priority="40" operator="greaterThan">
      <formula>$M$6</formula>
    </cfRule>
  </conditionalFormatting>
  <conditionalFormatting sqref="J2:J3">
    <cfRule type="cellIs" dxfId="37" priority="39" operator="greaterThan">
      <formula>$M$2</formula>
    </cfRule>
  </conditionalFormatting>
  <conditionalFormatting sqref="J4">
    <cfRule type="cellIs" dxfId="36" priority="38" operator="greaterThan">
      <formula>$M$4</formula>
    </cfRule>
  </conditionalFormatting>
  <conditionalFormatting sqref="J5">
    <cfRule type="cellIs" dxfId="35" priority="37" operator="greaterThan">
      <formula>$M$5</formula>
    </cfRule>
  </conditionalFormatting>
  <conditionalFormatting sqref="J7">
    <cfRule type="cellIs" dxfId="34" priority="36" operator="greaterThan">
      <formula>$M$7</formula>
    </cfRule>
  </conditionalFormatting>
  <conditionalFormatting sqref="J8">
    <cfRule type="cellIs" dxfId="33" priority="35" operator="greaterThan">
      <formula>$M$8</formula>
    </cfRule>
  </conditionalFormatting>
  <conditionalFormatting sqref="J14">
    <cfRule type="cellIs" dxfId="32" priority="32" operator="greaterThan">
      <formula>$M$14</formula>
    </cfRule>
    <cfRule type="cellIs" dxfId="31" priority="34" operator="greaterThan">
      <formula>$M$14</formula>
    </cfRule>
  </conditionalFormatting>
  <conditionalFormatting sqref="J15">
    <cfRule type="cellIs" dxfId="30" priority="31" operator="greaterThan">
      <formula>$M$15</formula>
    </cfRule>
  </conditionalFormatting>
  <conditionalFormatting sqref="J16">
    <cfRule type="cellIs" dxfId="29" priority="30" operator="greaterThan">
      <formula>$M$16</formula>
    </cfRule>
  </conditionalFormatting>
  <conditionalFormatting sqref="J17">
    <cfRule type="cellIs" dxfId="28" priority="29" operator="greaterThan">
      <formula>$M$17</formula>
    </cfRule>
  </conditionalFormatting>
  <conditionalFormatting sqref="J18">
    <cfRule type="cellIs" dxfId="27" priority="28" operator="greaterThan">
      <formula>$M$18</formula>
    </cfRule>
  </conditionalFormatting>
  <conditionalFormatting sqref="J19">
    <cfRule type="cellIs" dxfId="26" priority="27" operator="greaterThan">
      <formula>$M$19</formula>
    </cfRule>
  </conditionalFormatting>
  <conditionalFormatting sqref="J20">
    <cfRule type="cellIs" dxfId="25" priority="26" operator="greaterThan">
      <formula>$M$20</formula>
    </cfRule>
  </conditionalFormatting>
  <conditionalFormatting sqref="J21">
    <cfRule type="cellIs" dxfId="24" priority="25" operator="greaterThan">
      <formula>$M$21</formula>
    </cfRule>
  </conditionalFormatting>
  <conditionalFormatting sqref="J22">
    <cfRule type="cellIs" dxfId="23" priority="24" operator="greaterThan">
      <formula>$M$22</formula>
    </cfRule>
  </conditionalFormatting>
  <conditionalFormatting sqref="J23">
    <cfRule type="cellIs" dxfId="22" priority="23" operator="greaterThan">
      <formula>$M$23</formula>
    </cfRule>
  </conditionalFormatting>
  <conditionalFormatting sqref="J24">
    <cfRule type="cellIs" dxfId="21" priority="22" operator="greaterThan">
      <formula>$M$24</formula>
    </cfRule>
  </conditionalFormatting>
  <conditionalFormatting sqref="J25">
    <cfRule type="cellIs" dxfId="20" priority="21" operator="greaterThan">
      <formula>$M$25</formula>
    </cfRule>
  </conditionalFormatting>
  <conditionalFormatting sqref="J26">
    <cfRule type="cellIs" dxfId="19" priority="20" operator="greaterThan">
      <formula>$M$26</formula>
    </cfRule>
  </conditionalFormatting>
  <conditionalFormatting sqref="M2:M3">
    <cfRule type="cellIs" dxfId="18" priority="19" operator="greaterThan">
      <formula>$J$2</formula>
    </cfRule>
  </conditionalFormatting>
  <conditionalFormatting sqref="M4">
    <cfRule type="cellIs" dxfId="17" priority="18" operator="greaterThan">
      <formula>$J$4</formula>
    </cfRule>
  </conditionalFormatting>
  <conditionalFormatting sqref="M5">
    <cfRule type="cellIs" dxfId="16" priority="17" operator="greaterThan">
      <formula>$J$5</formula>
    </cfRule>
  </conditionalFormatting>
  <conditionalFormatting sqref="M6">
    <cfRule type="cellIs" dxfId="15" priority="16" operator="greaterThan">
      <formula>$J$6</formula>
    </cfRule>
  </conditionalFormatting>
  <conditionalFormatting sqref="M7">
    <cfRule type="cellIs" dxfId="14" priority="15" operator="greaterThan">
      <formula>$J$7</formula>
    </cfRule>
  </conditionalFormatting>
  <conditionalFormatting sqref="M8">
    <cfRule type="cellIs" dxfId="13" priority="14" operator="greaterThan">
      <formula>$J$8</formula>
    </cfRule>
  </conditionalFormatting>
  <conditionalFormatting sqref="M14">
    <cfRule type="cellIs" dxfId="12" priority="13" operator="greaterThan">
      <formula>$J$14</formula>
    </cfRule>
  </conditionalFormatting>
  <conditionalFormatting sqref="M15">
    <cfRule type="cellIs" dxfId="11" priority="12" operator="greaterThan">
      <formula>$J$15</formula>
    </cfRule>
  </conditionalFormatting>
  <conditionalFormatting sqref="M16">
    <cfRule type="cellIs" dxfId="10" priority="11" operator="greaterThan">
      <formula>$J$16</formula>
    </cfRule>
  </conditionalFormatting>
  <conditionalFormatting sqref="M17">
    <cfRule type="cellIs" dxfId="9" priority="10" operator="greaterThan">
      <formula>$J$17</formula>
    </cfRule>
  </conditionalFormatting>
  <conditionalFormatting sqref="M18">
    <cfRule type="cellIs" dxfId="8" priority="9" operator="greaterThan">
      <formula>$J$18</formula>
    </cfRule>
  </conditionalFormatting>
  <conditionalFormatting sqref="M19">
    <cfRule type="cellIs" dxfId="7" priority="8" operator="greaterThan">
      <formula>$J$19</formula>
    </cfRule>
  </conditionalFormatting>
  <conditionalFormatting sqref="M20">
    <cfRule type="cellIs" dxfId="6" priority="7" operator="greaterThan">
      <formula>$J$20</formula>
    </cfRule>
  </conditionalFormatting>
  <conditionalFormatting sqref="M21">
    <cfRule type="cellIs" dxfId="5" priority="6" operator="greaterThan">
      <formula>$J$21</formula>
    </cfRule>
  </conditionalFormatting>
  <conditionalFormatting sqref="M22">
    <cfRule type="cellIs" dxfId="4" priority="5" operator="greaterThan">
      <formula>$J$22</formula>
    </cfRule>
  </conditionalFormatting>
  <conditionalFormatting sqref="M23">
    <cfRule type="cellIs" dxfId="3" priority="4" operator="greaterThan">
      <formula>$J$23</formula>
    </cfRule>
  </conditionalFormatting>
  <conditionalFormatting sqref="M24">
    <cfRule type="cellIs" dxfId="2" priority="3" operator="greaterThan">
      <formula>$J$24</formula>
    </cfRule>
  </conditionalFormatting>
  <conditionalFormatting sqref="M25">
    <cfRule type="cellIs" dxfId="1" priority="2" operator="greaterThan">
      <formula>$J$25</formula>
    </cfRule>
  </conditionalFormatting>
  <conditionalFormatting sqref="M26">
    <cfRule type="cellIs" dxfId="0" priority="1" operator="greaterThan">
      <formula>$J$26</formula>
    </cfRule>
  </conditionalFormatting>
  <pageMargins left="0.7" right="0.7" top="0.75" bottom="0.75" header="0.3" footer="0.3"/>
  <pageSetup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D7:Q33"/>
  <sheetViews>
    <sheetView tabSelected="1" showRuler="0" topLeftCell="D4" workbookViewId="0">
      <selection activeCell="M26" sqref="M26"/>
    </sheetView>
  </sheetViews>
  <sheetFormatPr baseColWidth="10" defaultRowHeight="16" x14ac:dyDescent="0.2"/>
  <cols>
    <col min="5" max="5" width="16.83203125" customWidth="1"/>
    <col min="11" max="11" width="18.1640625" bestFit="1" customWidth="1"/>
    <col min="12" max="12" width="22.1640625" bestFit="1" customWidth="1"/>
    <col min="13" max="13" width="5.1640625" bestFit="1" customWidth="1"/>
    <col min="14" max="14" width="16.33203125" bestFit="1" customWidth="1"/>
    <col min="15" max="15" width="9" customWidth="1"/>
    <col min="16" max="16" width="13.33203125" bestFit="1" customWidth="1"/>
  </cols>
  <sheetData>
    <row r="7" spans="4:17" x14ac:dyDescent="0.2">
      <c r="D7" t="s">
        <v>216</v>
      </c>
      <c r="F7" t="s">
        <v>215</v>
      </c>
      <c r="H7" t="s">
        <v>214</v>
      </c>
      <c r="K7" t="s">
        <v>211</v>
      </c>
      <c r="L7" t="s">
        <v>210</v>
      </c>
      <c r="M7" t="s">
        <v>205</v>
      </c>
      <c r="N7" t="s">
        <v>208</v>
      </c>
      <c r="O7" t="s">
        <v>206</v>
      </c>
      <c r="P7" t="s">
        <v>207</v>
      </c>
      <c r="Q7" t="s">
        <v>222</v>
      </c>
    </row>
    <row r="8" spans="4:17" x14ac:dyDescent="0.2">
      <c r="D8" s="2">
        <f>+(H8/100)*F8</f>
        <v>13.822065</v>
      </c>
      <c r="F8" s="2">
        <f>+N29</f>
        <v>30.715700000000002</v>
      </c>
      <c r="H8" s="2">
        <v>45</v>
      </c>
      <c r="L8" t="s">
        <v>204</v>
      </c>
      <c r="M8">
        <v>100</v>
      </c>
      <c r="N8" s="15">
        <v>4.1257000000000001</v>
      </c>
      <c r="O8" s="2">
        <f>+M8*N8</f>
        <v>412.57</v>
      </c>
      <c r="P8" s="15">
        <v>13.3559</v>
      </c>
      <c r="Q8" s="15">
        <f>+P8-N8</f>
        <v>9.2302</v>
      </c>
    </row>
    <row r="9" spans="4:17" x14ac:dyDescent="0.2">
      <c r="E9" t="s">
        <v>218</v>
      </c>
      <c r="F9">
        <f>+F8*100</f>
        <v>3071.57</v>
      </c>
      <c r="G9" t="s">
        <v>217</v>
      </c>
      <c r="H9" s="2">
        <f>+H8*100</f>
        <v>4500</v>
      </c>
      <c r="L9" s="1" t="s">
        <v>180</v>
      </c>
      <c r="M9">
        <v>100</v>
      </c>
      <c r="N9" s="14">
        <v>0.11700000000000001</v>
      </c>
      <c r="O9" s="2">
        <f t="shared" ref="O9:O28" si="0">+M9*N9</f>
        <v>11.700000000000001</v>
      </c>
      <c r="P9" s="14">
        <v>0.15</v>
      </c>
      <c r="Q9" s="15">
        <f t="shared" ref="Q9:Q28" si="1">+P9-N9</f>
        <v>3.2999999999999988E-2</v>
      </c>
    </row>
    <row r="10" spans="4:17" x14ac:dyDescent="0.2">
      <c r="L10" s="11" t="s">
        <v>176</v>
      </c>
      <c r="M10">
        <v>100</v>
      </c>
      <c r="N10" s="14">
        <v>6.9000000000000006E-2</v>
      </c>
      <c r="O10" s="2">
        <f t="shared" si="0"/>
        <v>6.9</v>
      </c>
      <c r="P10" s="14">
        <v>0.08</v>
      </c>
      <c r="Q10" s="15">
        <f t="shared" si="1"/>
        <v>1.0999999999999996E-2</v>
      </c>
    </row>
    <row r="11" spans="4:17" x14ac:dyDescent="0.2">
      <c r="E11" t="s">
        <v>219</v>
      </c>
      <c r="F11" s="2">
        <f>+H9-F9</f>
        <v>1428.4299999999998</v>
      </c>
      <c r="L11" s="1" t="s">
        <v>192</v>
      </c>
      <c r="M11">
        <v>100</v>
      </c>
      <c r="N11" s="14">
        <v>0.1</v>
      </c>
      <c r="O11" s="2">
        <f t="shared" si="0"/>
        <v>10</v>
      </c>
      <c r="P11" s="14">
        <v>0.31</v>
      </c>
      <c r="Q11" s="15">
        <f t="shared" si="1"/>
        <v>0.21</v>
      </c>
    </row>
    <row r="12" spans="4:17" x14ac:dyDescent="0.2">
      <c r="E12" t="s">
        <v>220</v>
      </c>
      <c r="F12" s="16">
        <f>+F11/N29</f>
        <v>46.504881868230243</v>
      </c>
      <c r="L12" t="s">
        <v>15</v>
      </c>
      <c r="M12">
        <v>100</v>
      </c>
      <c r="N12" s="14">
        <v>3.7999999999999999E-2</v>
      </c>
      <c r="O12" s="2">
        <f t="shared" si="0"/>
        <v>3.8</v>
      </c>
      <c r="P12" s="14">
        <v>0.13</v>
      </c>
      <c r="Q12" s="15">
        <f t="shared" si="1"/>
        <v>9.1999999999999998E-2</v>
      </c>
    </row>
    <row r="13" spans="4:17" x14ac:dyDescent="0.2">
      <c r="L13" s="1" t="s">
        <v>198</v>
      </c>
      <c r="M13">
        <v>100</v>
      </c>
      <c r="N13" s="14">
        <v>0.222</v>
      </c>
      <c r="O13" s="2">
        <f t="shared" si="0"/>
        <v>22.2</v>
      </c>
      <c r="P13" s="14">
        <v>0.47</v>
      </c>
      <c r="Q13" s="15">
        <f t="shared" si="1"/>
        <v>0.24799999999999997</v>
      </c>
    </row>
    <row r="14" spans="4:17" x14ac:dyDescent="0.2">
      <c r="L14" t="s">
        <v>24</v>
      </c>
      <c r="M14">
        <v>100</v>
      </c>
      <c r="N14" s="14">
        <v>0.41399999999999998</v>
      </c>
      <c r="O14" s="2">
        <f t="shared" si="0"/>
        <v>41.4</v>
      </c>
      <c r="P14" s="14">
        <v>0.42</v>
      </c>
      <c r="Q14" s="15">
        <f t="shared" si="1"/>
        <v>6.0000000000000053E-3</v>
      </c>
    </row>
    <row r="15" spans="4:17" x14ac:dyDescent="0.2">
      <c r="L15" t="s">
        <v>29</v>
      </c>
      <c r="M15">
        <v>100</v>
      </c>
      <c r="N15" s="14">
        <v>0.68300000000000005</v>
      </c>
      <c r="O15" s="2">
        <f t="shared" si="0"/>
        <v>68.300000000000011</v>
      </c>
      <c r="P15" s="14">
        <v>0.7</v>
      </c>
      <c r="Q15" s="15">
        <f t="shared" si="1"/>
        <v>1.6999999999999904E-2</v>
      </c>
    </row>
    <row r="16" spans="4:17" x14ac:dyDescent="0.2">
      <c r="L16" s="1" t="s">
        <v>193</v>
      </c>
      <c r="M16">
        <v>100</v>
      </c>
      <c r="N16" s="14">
        <v>0.06</v>
      </c>
      <c r="O16" s="2">
        <f t="shared" si="0"/>
        <v>6</v>
      </c>
      <c r="P16" s="14">
        <v>0.08</v>
      </c>
      <c r="Q16" s="15">
        <f t="shared" si="1"/>
        <v>2.0000000000000004E-2</v>
      </c>
    </row>
    <row r="17" spans="11:17" x14ac:dyDescent="0.2">
      <c r="L17" s="1" t="s">
        <v>203</v>
      </c>
      <c r="M17">
        <v>100</v>
      </c>
      <c r="N17" s="14">
        <v>5.7000000000000002E-2</v>
      </c>
      <c r="O17" s="2">
        <f t="shared" si="0"/>
        <v>5.7</v>
      </c>
      <c r="P17" s="14">
        <v>0.19</v>
      </c>
      <c r="Q17" s="15">
        <f t="shared" si="1"/>
        <v>0.13300000000000001</v>
      </c>
    </row>
    <row r="18" spans="11:17" x14ac:dyDescent="0.2">
      <c r="L18" t="s">
        <v>62</v>
      </c>
      <c r="M18">
        <v>100</v>
      </c>
      <c r="N18" s="14">
        <v>1.2999999999999999E-2</v>
      </c>
      <c r="O18" s="2">
        <f t="shared" si="0"/>
        <v>1.3</v>
      </c>
      <c r="P18" s="14">
        <v>0.1</v>
      </c>
      <c r="Q18" s="15">
        <f t="shared" si="1"/>
        <v>8.7000000000000008E-2</v>
      </c>
    </row>
    <row r="19" spans="11:17" x14ac:dyDescent="0.2">
      <c r="L19" s="1" t="s">
        <v>140</v>
      </c>
      <c r="M19">
        <v>200</v>
      </c>
      <c r="N19" s="14">
        <v>1.9E-2</v>
      </c>
      <c r="O19" s="2">
        <f t="shared" si="0"/>
        <v>3.8</v>
      </c>
      <c r="P19" s="14">
        <v>0.1</v>
      </c>
      <c r="Q19" s="15">
        <f t="shared" si="1"/>
        <v>8.1000000000000003E-2</v>
      </c>
    </row>
    <row r="20" spans="11:17" x14ac:dyDescent="0.2">
      <c r="K20" s="1" t="s">
        <v>209</v>
      </c>
      <c r="L20" t="s">
        <v>64</v>
      </c>
      <c r="M20">
        <v>100</v>
      </c>
      <c r="N20" s="14">
        <v>6.2E-2</v>
      </c>
      <c r="O20" s="2">
        <f t="shared" si="0"/>
        <v>6.2</v>
      </c>
      <c r="P20" s="14">
        <v>0.1</v>
      </c>
      <c r="Q20" s="15">
        <f t="shared" si="1"/>
        <v>3.8000000000000006E-2</v>
      </c>
    </row>
    <row r="21" spans="11:17" x14ac:dyDescent="0.2">
      <c r="L21" t="s">
        <v>68</v>
      </c>
      <c r="M21">
        <v>100</v>
      </c>
      <c r="N21" s="14">
        <v>1.1000000000000001</v>
      </c>
      <c r="O21" s="2">
        <f t="shared" si="0"/>
        <v>110.00000000000001</v>
      </c>
      <c r="P21" s="14">
        <v>1.22</v>
      </c>
      <c r="Q21" s="15">
        <f t="shared" si="1"/>
        <v>0.11999999999999988</v>
      </c>
    </row>
    <row r="22" spans="11:17" x14ac:dyDescent="0.2">
      <c r="K22" s="1" t="s">
        <v>212</v>
      </c>
      <c r="L22" t="s">
        <v>73</v>
      </c>
      <c r="M22">
        <v>100</v>
      </c>
      <c r="N22" s="14">
        <v>0.17399999999999999</v>
      </c>
      <c r="O22" s="2">
        <f t="shared" si="0"/>
        <v>17.399999999999999</v>
      </c>
      <c r="P22" s="14">
        <v>0.21</v>
      </c>
      <c r="Q22" s="15">
        <f t="shared" si="1"/>
        <v>3.6000000000000004E-2</v>
      </c>
    </row>
    <row r="23" spans="11:17" x14ac:dyDescent="0.2">
      <c r="K23" s="1" t="s">
        <v>213</v>
      </c>
      <c r="L23" t="s">
        <v>78</v>
      </c>
      <c r="M23">
        <v>100</v>
      </c>
      <c r="N23" s="14">
        <v>0.82</v>
      </c>
      <c r="O23" s="2">
        <f t="shared" si="0"/>
        <v>82</v>
      </c>
      <c r="P23" s="14">
        <v>1</v>
      </c>
      <c r="Q23" s="15">
        <f t="shared" si="1"/>
        <v>0.18000000000000005</v>
      </c>
    </row>
    <row r="24" spans="11:17" x14ac:dyDescent="0.2">
      <c r="L24" t="s">
        <v>83</v>
      </c>
      <c r="M24">
        <v>100</v>
      </c>
      <c r="N24" s="14">
        <v>2.71</v>
      </c>
      <c r="O24" s="2">
        <f t="shared" si="0"/>
        <v>271</v>
      </c>
      <c r="P24" s="14">
        <v>3.7</v>
      </c>
      <c r="Q24" s="15">
        <f t="shared" si="1"/>
        <v>0.99000000000000021</v>
      </c>
    </row>
    <row r="25" spans="11:17" x14ac:dyDescent="0.2">
      <c r="L25" t="s">
        <v>88</v>
      </c>
      <c r="M25">
        <v>100</v>
      </c>
      <c r="N25" s="14">
        <v>0.26</v>
      </c>
      <c r="O25" s="2">
        <f t="shared" si="0"/>
        <v>26</v>
      </c>
      <c r="P25" s="14">
        <v>0.46</v>
      </c>
      <c r="Q25" s="15">
        <f t="shared" si="1"/>
        <v>0.2</v>
      </c>
    </row>
    <row r="26" spans="11:17" x14ac:dyDescent="0.2">
      <c r="L26" s="1" t="s">
        <v>90</v>
      </c>
      <c r="M26">
        <v>10</v>
      </c>
      <c r="N26" s="14">
        <v>17.96</v>
      </c>
      <c r="O26" s="2">
        <f t="shared" si="0"/>
        <v>179.60000000000002</v>
      </c>
      <c r="P26" s="14">
        <v>19.95</v>
      </c>
      <c r="Q26" s="15">
        <f t="shared" si="1"/>
        <v>1.9899999999999984</v>
      </c>
    </row>
    <row r="27" spans="11:17" x14ac:dyDescent="0.2">
      <c r="L27" s="1" t="s">
        <v>97</v>
      </c>
      <c r="M27">
        <v>100</v>
      </c>
      <c r="N27" s="14">
        <v>1.1599999999999999</v>
      </c>
      <c r="O27" s="2">
        <f t="shared" si="0"/>
        <v>115.99999999999999</v>
      </c>
      <c r="P27" s="14">
        <v>1.42</v>
      </c>
      <c r="Q27" s="15">
        <f t="shared" si="1"/>
        <v>0.26</v>
      </c>
    </row>
    <row r="28" spans="11:17" x14ac:dyDescent="0.2">
      <c r="L28" t="s">
        <v>99</v>
      </c>
      <c r="M28">
        <v>100</v>
      </c>
      <c r="N28" s="14">
        <v>0.55200000000000005</v>
      </c>
      <c r="O28" s="2">
        <f t="shared" si="0"/>
        <v>55.2</v>
      </c>
      <c r="P28" s="14">
        <v>0.77</v>
      </c>
      <c r="Q28" s="15">
        <f t="shared" si="1"/>
        <v>0.21799999999999997</v>
      </c>
    </row>
    <row r="29" spans="11:17" x14ac:dyDescent="0.2">
      <c r="N29" s="15">
        <f>SUM(N8:N28)</f>
        <v>30.715700000000002</v>
      </c>
      <c r="O29" s="2">
        <f>SUM(O8:O28)</f>
        <v>1457.07</v>
      </c>
      <c r="P29" s="15">
        <f>SUM(P8:P28)</f>
        <v>44.915900000000008</v>
      </c>
      <c r="Q29" s="15">
        <f>SUM(Q8:Q28)</f>
        <v>14.200199999999995</v>
      </c>
    </row>
    <row r="31" spans="11:17" x14ac:dyDescent="0.2">
      <c r="K31" t="s">
        <v>226</v>
      </c>
    </row>
    <row r="32" spans="11:17" x14ac:dyDescent="0.2">
      <c r="K32" t="s">
        <v>223</v>
      </c>
      <c r="L32" s="1" t="s">
        <v>221</v>
      </c>
      <c r="M32">
        <v>1</v>
      </c>
      <c r="N32" s="14">
        <v>67.540000000000006</v>
      </c>
      <c r="O32" s="2">
        <f>+M32*N32</f>
        <v>67.540000000000006</v>
      </c>
      <c r="P32" s="14"/>
      <c r="Q32" s="15"/>
    </row>
    <row r="33" spans="11:15" x14ac:dyDescent="0.2">
      <c r="K33" t="s">
        <v>225</v>
      </c>
      <c r="L33" s="1" t="s">
        <v>224</v>
      </c>
      <c r="M33">
        <v>1</v>
      </c>
      <c r="N33">
        <v>6.06</v>
      </c>
      <c r="O33" s="2">
        <f>+M33*N33</f>
        <v>6.06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7"/>
  <sheetViews>
    <sheetView showRuler="0" workbookViewId="0">
      <selection activeCell="S11" sqref="S11"/>
    </sheetView>
  </sheetViews>
  <sheetFormatPr baseColWidth="10" defaultRowHeight="16" x14ac:dyDescent="0.2"/>
  <sheetData>
    <row r="1" spans="3:6" x14ac:dyDescent="0.2">
      <c r="C1" t="s">
        <v>126</v>
      </c>
      <c r="D1" t="s">
        <v>134</v>
      </c>
    </row>
    <row r="2" spans="3:6" x14ac:dyDescent="0.2">
      <c r="C2" t="s">
        <v>135</v>
      </c>
    </row>
    <row r="3" spans="3:6" x14ac:dyDescent="0.2">
      <c r="D3" s="9" t="s">
        <v>133</v>
      </c>
    </row>
    <row r="4" spans="3:6" x14ac:dyDescent="0.2">
      <c r="C4" t="s">
        <v>131</v>
      </c>
      <c r="D4" s="7">
        <v>4</v>
      </c>
    </row>
    <row r="5" spans="3:6" x14ac:dyDescent="0.2">
      <c r="C5" t="s">
        <v>6</v>
      </c>
      <c r="D5" s="7">
        <v>34</v>
      </c>
    </row>
    <row r="6" spans="3:6" x14ac:dyDescent="0.2">
      <c r="C6" t="s">
        <v>129</v>
      </c>
      <c r="D6" s="7">
        <v>34</v>
      </c>
    </row>
    <row r="7" spans="3:6" x14ac:dyDescent="0.2">
      <c r="C7" t="s">
        <v>130</v>
      </c>
      <c r="D7" s="10">
        <f>+(D5*D6)/(D5+D6)+D4</f>
        <v>21</v>
      </c>
      <c r="F7" t="s">
        <v>136</v>
      </c>
    </row>
    <row r="9" spans="3:6" x14ac:dyDescent="0.2">
      <c r="C9" t="s">
        <v>137</v>
      </c>
    </row>
    <row r="10" spans="3:6" x14ac:dyDescent="0.2">
      <c r="C10" t="s">
        <v>132</v>
      </c>
    </row>
    <row r="11" spans="3:6" x14ac:dyDescent="0.2">
      <c r="C11" t="s">
        <v>131</v>
      </c>
      <c r="D11" s="7">
        <v>4</v>
      </c>
    </row>
    <row r="12" spans="3:6" x14ac:dyDescent="0.2">
      <c r="C12" t="s">
        <v>130</v>
      </c>
      <c r="D12" s="7">
        <v>20</v>
      </c>
    </row>
    <row r="13" spans="3:6" x14ac:dyDescent="0.2">
      <c r="D13" s="10">
        <f>+(2*D12)-(2*D11)</f>
        <v>32</v>
      </c>
    </row>
    <row r="17" spans="5:8" x14ac:dyDescent="0.2">
      <c r="E17" s="7" t="s">
        <v>138</v>
      </c>
      <c r="F17" s="7"/>
      <c r="G17" s="7"/>
      <c r="H1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showRuler="0" workbookViewId="0">
      <selection activeCell="C4" sqref="C4:G11"/>
    </sheetView>
  </sheetViews>
  <sheetFormatPr baseColWidth="10" defaultRowHeight="16" x14ac:dyDescent="0.2"/>
  <sheetData>
    <row r="2" spans="3:7" x14ac:dyDescent="0.2">
      <c r="C2" t="s">
        <v>126</v>
      </c>
      <c r="D2" t="s">
        <v>127</v>
      </c>
    </row>
    <row r="4" spans="3:7" x14ac:dyDescent="0.2">
      <c r="C4" s="7" t="s">
        <v>124</v>
      </c>
      <c r="D4" s="7"/>
      <c r="E4" s="7"/>
      <c r="F4" s="7"/>
      <c r="G4" s="7"/>
    </row>
    <row r="5" spans="3:7" x14ac:dyDescent="0.2">
      <c r="C5" s="7" t="s">
        <v>125</v>
      </c>
      <c r="D5" s="7"/>
      <c r="E5" s="7"/>
      <c r="F5" s="7"/>
      <c r="G5" s="7"/>
    </row>
    <row r="7" spans="3:7" x14ac:dyDescent="0.2">
      <c r="E7" s="9" t="s">
        <v>105</v>
      </c>
    </row>
    <row r="8" spans="3:7" x14ac:dyDescent="0.2">
      <c r="C8" t="s">
        <v>120</v>
      </c>
      <c r="D8" s="7">
        <v>5</v>
      </c>
    </row>
    <row r="9" spans="3:7" x14ac:dyDescent="0.2">
      <c r="C9" t="s">
        <v>121</v>
      </c>
      <c r="D9" s="7">
        <v>1.8</v>
      </c>
    </row>
    <row r="10" spans="3:7" x14ac:dyDescent="0.2">
      <c r="C10" t="s">
        <v>122</v>
      </c>
      <c r="D10" s="7">
        <v>1.4E-2</v>
      </c>
      <c r="E10">
        <f>+D10*1000</f>
        <v>14</v>
      </c>
    </row>
    <row r="11" spans="3:7" x14ac:dyDescent="0.2">
      <c r="C11" t="s">
        <v>123</v>
      </c>
      <c r="D11" s="10">
        <f>+(D8-D9)/D10</f>
        <v>228.57142857142858</v>
      </c>
    </row>
    <row r="15" spans="3:7" x14ac:dyDescent="0.2">
      <c r="C15" s="7" t="s">
        <v>128</v>
      </c>
      <c r="D15" s="7"/>
      <c r="E15" s="7"/>
      <c r="F15" s="7"/>
    </row>
    <row r="16" spans="3:7" x14ac:dyDescent="0.2">
      <c r="E16" t="s">
        <v>105</v>
      </c>
      <c r="F16" t="s">
        <v>113</v>
      </c>
    </row>
    <row r="17" spans="3:6" x14ac:dyDescent="0.2">
      <c r="C17" t="s">
        <v>120</v>
      </c>
      <c r="D17" s="7">
        <v>5</v>
      </c>
    </row>
    <row r="18" spans="3:6" x14ac:dyDescent="0.2">
      <c r="C18" t="s">
        <v>121</v>
      </c>
      <c r="D18" s="7">
        <v>1.8</v>
      </c>
    </row>
    <row r="19" spans="3:6" x14ac:dyDescent="0.2">
      <c r="C19" t="s">
        <v>123</v>
      </c>
      <c r="D19" s="7">
        <v>220</v>
      </c>
    </row>
    <row r="20" spans="3:6" x14ac:dyDescent="0.2">
      <c r="C20" t="s">
        <v>122</v>
      </c>
      <c r="D20">
        <f>+(D17-D18)/D19</f>
        <v>1.4545454545454545E-2</v>
      </c>
      <c r="E20">
        <f>+D20*1000</f>
        <v>14.545454545454545</v>
      </c>
      <c r="F20">
        <f>+D20*1000000</f>
        <v>14545.454545454546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I33"/>
  <sheetViews>
    <sheetView showRuler="0" topLeftCell="A13" workbookViewId="0">
      <selection activeCell="E33" sqref="E33"/>
    </sheetView>
  </sheetViews>
  <sheetFormatPr baseColWidth="10" defaultRowHeight="16" x14ac:dyDescent="0.2"/>
  <sheetData>
    <row r="14" spans="4:5" x14ac:dyDescent="0.2">
      <c r="D14" t="s">
        <v>118</v>
      </c>
    </row>
    <row r="15" spans="4:5" x14ac:dyDescent="0.2">
      <c r="D15" t="s">
        <v>116</v>
      </c>
      <c r="E15" t="s">
        <v>117</v>
      </c>
    </row>
    <row r="19" spans="4:9" x14ac:dyDescent="0.2">
      <c r="D19" s="7" t="s">
        <v>115</v>
      </c>
      <c r="E19" s="7"/>
      <c r="F19" s="7"/>
      <c r="G19" s="7"/>
      <c r="H19" s="7"/>
      <c r="I19" s="7"/>
    </row>
    <row r="20" spans="4:9" x14ac:dyDescent="0.2">
      <c r="D20" s="7" t="s">
        <v>119</v>
      </c>
      <c r="E20" s="7"/>
      <c r="F20" s="7"/>
      <c r="G20" s="7"/>
      <c r="H20" s="7"/>
      <c r="I20" s="7"/>
    </row>
    <row r="21" spans="4:9" x14ac:dyDescent="0.2">
      <c r="E21" t="s">
        <v>114</v>
      </c>
      <c r="F21" t="s">
        <v>105</v>
      </c>
      <c r="G21" t="s">
        <v>113</v>
      </c>
    </row>
    <row r="22" spans="4:9" x14ac:dyDescent="0.2">
      <c r="D22" t="s">
        <v>106</v>
      </c>
      <c r="E22" s="7">
        <v>7.0000000000000007E-2</v>
      </c>
      <c r="F22">
        <v>70</v>
      </c>
      <c r="G22">
        <f>+E22*1000000</f>
        <v>70000</v>
      </c>
    </row>
    <row r="23" spans="4:9" x14ac:dyDescent="0.2">
      <c r="D23" t="s">
        <v>107</v>
      </c>
      <c r="E23" s="7">
        <v>45</v>
      </c>
    </row>
    <row r="24" spans="4:9" x14ac:dyDescent="0.2">
      <c r="D24" t="s">
        <v>108</v>
      </c>
      <c r="E24">
        <f>+E22/E23</f>
        <v>1.5555555555555557E-3</v>
      </c>
      <c r="F24">
        <f>+E24*1000</f>
        <v>1.5555555555555556</v>
      </c>
      <c r="G24">
        <f>+E24*1000000</f>
        <v>1555.5555555555557</v>
      </c>
    </row>
    <row r="26" spans="4:9" x14ac:dyDescent="0.2">
      <c r="D26" t="s">
        <v>109</v>
      </c>
      <c r="E26" s="7">
        <v>5</v>
      </c>
    </row>
    <row r="27" spans="4:9" x14ac:dyDescent="0.2">
      <c r="D27" t="s">
        <v>110</v>
      </c>
      <c r="E27" s="7">
        <v>0.95</v>
      </c>
    </row>
    <row r="28" spans="4:9" x14ac:dyDescent="0.2">
      <c r="D28" t="s">
        <v>111</v>
      </c>
      <c r="E28" s="8">
        <f>+(E26-E27)/E24</f>
        <v>2603.5714285714284</v>
      </c>
    </row>
    <row r="33" spans="4:5" x14ac:dyDescent="0.2">
      <c r="D33" t="s">
        <v>139</v>
      </c>
      <c r="E33">
        <f>+E26*E24</f>
        <v>7.7777777777777784E-3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workbookViewId="0">
      <selection activeCell="G27" sqref="G27"/>
    </sheetView>
  </sheetViews>
  <sheetFormatPr baseColWidth="10" defaultRowHeight="16" x14ac:dyDescent="0.2"/>
  <sheetData>
    <row r="1" spans="1:3" x14ac:dyDescent="0.2">
      <c r="B1" s="5"/>
      <c r="C1" s="5"/>
    </row>
    <row r="2" spans="1:3" x14ac:dyDescent="0.2">
      <c r="A2" t="s">
        <v>112</v>
      </c>
      <c r="B2" s="6" t="s">
        <v>105</v>
      </c>
      <c r="C2" s="6" t="s">
        <v>113</v>
      </c>
    </row>
    <row r="3" spans="1:3" x14ac:dyDescent="0.2">
      <c r="A3">
        <v>1</v>
      </c>
      <c r="B3" s="6">
        <f>+A3*1000</f>
        <v>1000</v>
      </c>
      <c r="C3" s="6">
        <f>+A3*1000000</f>
        <v>1000000</v>
      </c>
    </row>
    <row r="4" spans="1:3" x14ac:dyDescent="0.2">
      <c r="A4">
        <v>0.7</v>
      </c>
      <c r="B4" s="6">
        <f t="shared" ref="B4:B10" si="0">+A4*1000</f>
        <v>700</v>
      </c>
      <c r="C4" s="6">
        <f t="shared" ref="C4:C10" si="1">+A4*1000000</f>
        <v>700000</v>
      </c>
    </row>
    <row r="5" spans="1:3" x14ac:dyDescent="0.2">
      <c r="A5">
        <v>7.0000000000000007E-2</v>
      </c>
      <c r="B5" s="6">
        <f t="shared" si="0"/>
        <v>70</v>
      </c>
      <c r="C5" s="6">
        <f t="shared" si="1"/>
        <v>70000</v>
      </c>
    </row>
    <row r="6" spans="1:3" x14ac:dyDescent="0.2">
      <c r="A6">
        <v>7.0000000000000001E-3</v>
      </c>
      <c r="B6" s="6">
        <f t="shared" si="0"/>
        <v>7</v>
      </c>
      <c r="C6" s="6">
        <f t="shared" si="1"/>
        <v>7000</v>
      </c>
    </row>
    <row r="7" spans="1:3" x14ac:dyDescent="0.2">
      <c r="A7">
        <v>6.9999999999999999E-4</v>
      </c>
      <c r="B7" s="6">
        <f t="shared" si="0"/>
        <v>0.7</v>
      </c>
      <c r="C7" s="6">
        <f t="shared" si="1"/>
        <v>700</v>
      </c>
    </row>
    <row r="8" spans="1:3" x14ac:dyDescent="0.2">
      <c r="A8">
        <v>6.9999999999999994E-5</v>
      </c>
      <c r="B8" s="6">
        <f t="shared" si="0"/>
        <v>6.9999999999999993E-2</v>
      </c>
      <c r="C8" s="6">
        <f t="shared" si="1"/>
        <v>70</v>
      </c>
    </row>
    <row r="9" spans="1:3" x14ac:dyDescent="0.2">
      <c r="A9">
        <v>6.9999999999999999E-6</v>
      </c>
      <c r="B9" s="6">
        <f t="shared" si="0"/>
        <v>7.0000000000000001E-3</v>
      </c>
      <c r="C9" s="6">
        <f t="shared" si="1"/>
        <v>7</v>
      </c>
    </row>
    <row r="10" spans="1:3" x14ac:dyDescent="0.2">
      <c r="A10">
        <v>3.3329999999999999E-2</v>
      </c>
      <c r="B10" s="6">
        <f t="shared" si="0"/>
        <v>33.33</v>
      </c>
      <c r="C10" s="6">
        <f t="shared" si="1"/>
        <v>33330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actual costs</vt:lpstr>
      <vt:lpstr>crystal caps</vt:lpstr>
      <vt:lpstr>led series resistor</vt:lpstr>
      <vt:lpstr>base resistor calc</vt:lpstr>
      <vt:lpstr>convert amps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2015-12-06T02:15:18Z</cp:lastPrinted>
  <dcterms:created xsi:type="dcterms:W3CDTF">2015-12-06T01:39:43Z</dcterms:created>
  <dcterms:modified xsi:type="dcterms:W3CDTF">2015-12-22T23:26:51Z</dcterms:modified>
</cp:coreProperties>
</file>