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xcel Sales Dashboard (Report)\Excel Sales Dashboard (Report)\"/>
    </mc:Choice>
  </mc:AlternateContent>
  <bookViews>
    <workbookView xWindow="0" yWindow="0" windowWidth="20490" windowHeight="7620" firstSheet="4" activeTab="6"/>
  </bookViews>
  <sheets>
    <sheet name="Gender Chart" sheetId="9" state="hidden" r:id="rId1"/>
    <sheet name="Analysis-3" sheetId="7" state="hidden" r:id="rId2"/>
    <sheet name="Analysis-2" sheetId="1" state="hidden" r:id="rId3"/>
    <sheet name="Waffle Chart" sheetId="6" state="hidden" r:id="rId4"/>
    <sheet name="Profit View" sheetId="8" r:id="rId5"/>
    <sheet name="Timeframe" sheetId="4" r:id="rId6"/>
    <sheet name="Store_dashboard" sheetId="5" r:id="rId7"/>
    <sheet name="Analysis" sheetId="2" state="hidden" r:id="rId8"/>
    <sheet name="Sheet3" sheetId="3" state="hidden" r:id="rId9"/>
  </sheets>
  <definedNames>
    <definedName name="ExternalData_1" localSheetId="1" hidden="1">'Analysis-3'!#REF!</definedName>
    <definedName name="large_1">'Analysis-2'!$I$21</definedName>
    <definedName name="large_2">'Analysis-2'!$I$21</definedName>
    <definedName name="Slicer_Month1">#N/A</definedName>
    <definedName name="Slicer_Store_Name">#N/A</definedName>
  </definedNames>
  <calcPr calcId="162913"/>
  <pivotCaches>
    <pivotCache cacheId="900" r:id="rId10"/>
    <pivotCache cacheId="901" r:id="rId11"/>
    <pivotCache cacheId="902" r:id="rId12"/>
    <pivotCache cacheId="903" r:id="rId13"/>
    <pivotCache cacheId="904" r:id="rId14"/>
    <pivotCache cacheId="905" r:id="rId15"/>
    <pivotCache cacheId="1047" r:id="rId16"/>
    <pivotCache cacheId="1050" r:id="rId17"/>
    <pivotCache cacheId="1053" r:id="rId18"/>
    <pivotCache cacheId="1056" r:id="rId19"/>
    <pivotCache cacheId="1059" r:id="rId20"/>
    <pivotCache cacheId="1062" r:id="rId21"/>
    <pivotCache cacheId="1065" r:id="rId22"/>
    <pivotCache cacheId="1068" r:id="rId23"/>
    <pivotCache cacheId="1071" r:id="rId24"/>
    <pivotCache cacheId="1074" r:id="rId25"/>
    <pivotCache cacheId="1077" r:id="rId26"/>
    <pivotCache cacheId="1080" r:id="rId27"/>
    <pivotCache cacheId="1083" r:id="rId28"/>
    <pivotCache cacheId="1170" r:id="rId29"/>
    <pivotCache cacheId="1173" r:id="rId30"/>
    <pivotCache cacheId="1176" r:id="rId31"/>
    <pivotCache cacheId="1179" r:id="rId32"/>
    <pivotCache cacheId="1182" r:id="rId33"/>
    <pivotCache cacheId="1185" r:id="rId34"/>
    <pivotCache cacheId="1188" r:id="rId35"/>
  </pivotCaches>
  <extLst>
    <ext xmlns:x14="http://schemas.microsoft.com/office/spreadsheetml/2009/9/main" uri="{876F7934-8845-4945-9796-88D515C7AA90}">
      <x14:pivotCaches>
        <pivotCache cacheId="926" r:id="rId36"/>
        <pivotCache cacheId="927" r:id="rId37"/>
      </x14:pivotCaches>
    </ext>
    <ext xmlns:x14="http://schemas.microsoft.com/office/spreadsheetml/2009/9/main" uri="{BBE1A952-AA13-448e-AADC-164F8A28A991}">
      <x14:slicerCaches>
        <x14:slicerCache r:id="rId38"/>
        <x14:slicerCache r:id="rId3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table_69a371b6-14c4-4eef-bd15-4847634a22da" name="customers_table" connection="Query - customers_table"/>
          <x15:modelTable id="fact_table_47b33fc7-9f75-47d2-844a-19836492ff01" name="fact_table" connection="Query - fact_table"/>
          <x15:modelTable id="monthly_store_targets_87511ebd-9475-4450-8ee4-36242ce0158f" name="monthly_store_targets" connection="Query - monthly_store_targets"/>
          <x15:modelTable id="products_table_e68ea603-f75e-44f6-b77f-f1b2350eb013" name="products_table" connection="Query - products_table"/>
          <x15:modelTable id="sales_persons_table_9912f8a7-8f9e-4da1-9e7c-f5fa72be4457" name="sales_persons_table" connection="Query - sales_persons_table"/>
          <x15:modelTable id="Date_864d36dc-43c7-41bd-93f0-1c95808caee9" name="Date" connection="Query - Date"/>
          <x15:modelTable id="Calculations_095ac958-8067-458d-8daf-5a10738d9485" name="Calculations" connection="Query - Calculations"/>
        </x15:modelTables>
        <x15:modelRelationships>
          <x15:modelRelationship fromTable="fact_table" fromColumn="Customer ID" toTable="customers_table" toColumn="Customer ID"/>
          <x15:modelRelationship fromTable="fact_table" fromColumn="Product ID" toTable="products_table" toColumn="Product ID"/>
          <x15:modelRelationship fromTable="fact_table" fromColumn="Sales Person ID" toTable="sales_persons_table" toColumn="Sales Person ID"/>
          <x15:modelRelationship fromTable="fact_table" fromColumn="Order Date" toTable="Date" toColumn="Order Date"/>
          <x15:modelRelationship fromTable="monthly_store_targets" fromColumn="Date" toTable="Date" toColumn="Order Date"/>
          <x15:modelRelationship fromTable="monthly_store_targets" fromColumn="Store ID" toTable="sales_persons_table" toColumn="Sales Person ID"/>
        </x15:modelRelationships>
      </x15:dataModel>
    </ext>
  </extLst>
</workbook>
</file>

<file path=xl/calcChain.xml><?xml version="1.0" encoding="utf-8"?>
<calcChain xmlns="http://schemas.openxmlformats.org/spreadsheetml/2006/main">
  <c r="AY24" i="7" l="1"/>
  <c r="AU38" i="7"/>
  <c r="AT39" i="7"/>
  <c r="AT40" i="7"/>
  <c r="AT41" i="7"/>
  <c r="AT42" i="7"/>
  <c r="AT43" i="7"/>
  <c r="AT38" i="7"/>
  <c r="AV31" i="7"/>
  <c r="AU40" i="7" s="1"/>
  <c r="AV32" i="7"/>
  <c r="AU41" i="7" s="1"/>
  <c r="AV33" i="7"/>
  <c r="AU42" i="7" s="1"/>
  <c r="AV34" i="7"/>
  <c r="AU43" i="7" s="1"/>
  <c r="AV30" i="7"/>
  <c r="AU39" i="7" s="1"/>
  <c r="AG30" i="7"/>
  <c r="AG31" i="7"/>
  <c r="AG32" i="7"/>
  <c r="AG33" i="7"/>
  <c r="AG34" i="7"/>
  <c r="AG35" i="7"/>
  <c r="AG36" i="7"/>
  <c r="AG37" i="7"/>
  <c r="AG38" i="7"/>
  <c r="AG39" i="7"/>
  <c r="AG40" i="7"/>
  <c r="AG41" i="7"/>
  <c r="AE30" i="7"/>
  <c r="AF30" i="7"/>
  <c r="AE31" i="7"/>
  <c r="AF31" i="7"/>
  <c r="AE32" i="7"/>
  <c r="AF32" i="7"/>
  <c r="AE33" i="7"/>
  <c r="AF33" i="7"/>
  <c r="AE34" i="7"/>
  <c r="AF34" i="7"/>
  <c r="AE35" i="7"/>
  <c r="AF35" i="7"/>
  <c r="AE36" i="7"/>
  <c r="AF36" i="7"/>
  <c r="AE37" i="7"/>
  <c r="AF37" i="7"/>
  <c r="AE38" i="7"/>
  <c r="AF38" i="7"/>
  <c r="AE39" i="7"/>
  <c r="AF39" i="7"/>
  <c r="AE40" i="7"/>
  <c r="AF40" i="7"/>
  <c r="AE41" i="7"/>
  <c r="AF41" i="7"/>
  <c r="AF29" i="7"/>
  <c r="AQ32" i="7"/>
  <c r="AO32" i="7"/>
  <c r="AP32" i="7"/>
  <c r="K30" i="7" l="1"/>
  <c r="K32" i="7"/>
  <c r="P5" i="9"/>
  <c r="P4" i="9"/>
  <c r="K9" i="9" l="1"/>
  <c r="G9" i="9"/>
  <c r="I10" i="9"/>
  <c r="K11" i="9"/>
  <c r="G11" i="9"/>
  <c r="I12" i="9"/>
  <c r="E12" i="9"/>
  <c r="H13" i="9"/>
  <c r="I14" i="9"/>
  <c r="K15" i="9"/>
  <c r="G15" i="9"/>
  <c r="L8" i="9"/>
  <c r="L12" i="9"/>
  <c r="L16" i="9"/>
  <c r="H16" i="9"/>
  <c r="K17" i="9"/>
  <c r="G17" i="9"/>
  <c r="E15" i="9"/>
  <c r="E10" i="9"/>
  <c r="D15" i="9"/>
  <c r="D10" i="9"/>
  <c r="C15" i="9"/>
  <c r="C11" i="9"/>
  <c r="J8" i="9"/>
  <c r="F8" i="9"/>
  <c r="C10" i="9"/>
  <c r="E8" i="9"/>
  <c r="J10" i="9"/>
  <c r="F12" i="9"/>
  <c r="J14" i="9"/>
  <c r="K13" i="9"/>
  <c r="I16" i="9"/>
  <c r="E16" i="9"/>
  <c r="D11" i="9"/>
  <c r="C12" i="9"/>
  <c r="C8" i="9"/>
  <c r="J9" i="9"/>
  <c r="F9" i="9"/>
  <c r="H10" i="9"/>
  <c r="J11" i="9"/>
  <c r="F11" i="9"/>
  <c r="H12" i="9"/>
  <c r="D12" i="9"/>
  <c r="G13" i="9"/>
  <c r="H14" i="9"/>
  <c r="J15" i="9"/>
  <c r="F15" i="9"/>
  <c r="L9" i="9"/>
  <c r="L13" i="9"/>
  <c r="K16" i="9"/>
  <c r="G16" i="9"/>
  <c r="J17" i="9"/>
  <c r="F17" i="9"/>
  <c r="E14" i="9"/>
  <c r="E9" i="9"/>
  <c r="D14" i="9"/>
  <c r="D9" i="9"/>
  <c r="C14" i="9"/>
  <c r="I8" i="9"/>
  <c r="H11" i="9"/>
  <c r="F14" i="9"/>
  <c r="L15" i="9"/>
  <c r="H17" i="9"/>
  <c r="D17" i="9"/>
  <c r="K8" i="9"/>
  <c r="I9" i="9"/>
  <c r="K10" i="9"/>
  <c r="G10" i="9"/>
  <c r="I11" i="9"/>
  <c r="K12" i="9"/>
  <c r="G12" i="9"/>
  <c r="J13" i="9"/>
  <c r="F13" i="9"/>
  <c r="G14" i="9"/>
  <c r="I15" i="9"/>
  <c r="K14" i="9"/>
  <c r="L10" i="9"/>
  <c r="L14" i="9"/>
  <c r="J16" i="9"/>
  <c r="F16" i="9"/>
  <c r="I17" i="9"/>
  <c r="E17" i="9"/>
  <c r="E13" i="9"/>
  <c r="D16" i="9"/>
  <c r="D13" i="9"/>
  <c r="C17" i="9"/>
  <c r="C13" i="9"/>
  <c r="C9" i="9"/>
  <c r="H8" i="9"/>
  <c r="D8" i="9"/>
  <c r="H9" i="9"/>
  <c r="F10" i="9"/>
  <c r="J12" i="9"/>
  <c r="I13" i="9"/>
  <c r="H15" i="9"/>
  <c r="L11" i="9"/>
  <c r="L17" i="9"/>
  <c r="E11" i="9"/>
  <c r="C16" i="9"/>
  <c r="G8" i="9"/>
  <c r="U14" i="3"/>
  <c r="T14" i="3"/>
  <c r="S14" i="3"/>
  <c r="U13" i="3"/>
  <c r="T13" i="3"/>
  <c r="S13" i="3"/>
  <c r="U12" i="3"/>
  <c r="T12" i="3"/>
  <c r="S12" i="3"/>
  <c r="U11" i="3"/>
  <c r="T11" i="3"/>
  <c r="S11" i="3"/>
  <c r="U10" i="3"/>
  <c r="T10" i="3"/>
  <c r="S10" i="3"/>
  <c r="U9" i="3"/>
  <c r="T9" i="3"/>
  <c r="S9" i="3"/>
  <c r="U8" i="3"/>
  <c r="T8" i="3"/>
  <c r="S8" i="3"/>
  <c r="U7" i="3"/>
  <c r="T7" i="3"/>
  <c r="S7" i="3"/>
  <c r="U6" i="3"/>
  <c r="T6" i="3"/>
  <c r="S6" i="3"/>
  <c r="U5" i="3"/>
  <c r="T5" i="3"/>
  <c r="S5" i="3"/>
  <c r="U4" i="3"/>
  <c r="T4" i="3"/>
  <c r="S4" i="3"/>
  <c r="U3" i="3"/>
  <c r="T3" i="3"/>
  <c r="S3" i="3"/>
  <c r="M32" i="6"/>
  <c r="L32" i="6"/>
  <c r="K32" i="6"/>
  <c r="J32" i="6"/>
  <c r="I32" i="6"/>
  <c r="H32" i="6"/>
  <c r="G32" i="6"/>
  <c r="F32" i="6"/>
  <c r="E32" i="6"/>
  <c r="M31" i="6"/>
  <c r="L31" i="6"/>
  <c r="K31" i="6"/>
  <c r="J31" i="6"/>
  <c r="I31" i="6"/>
  <c r="H31" i="6"/>
  <c r="G31" i="6"/>
  <c r="F31" i="6"/>
  <c r="E31" i="6"/>
  <c r="D31" i="6"/>
  <c r="M30" i="6"/>
  <c r="L30" i="6"/>
  <c r="K30" i="6"/>
  <c r="J30" i="6"/>
  <c r="I30" i="6"/>
  <c r="H30" i="6"/>
  <c r="G30" i="6"/>
  <c r="F30" i="6"/>
  <c r="E30" i="6"/>
  <c r="D30" i="6"/>
  <c r="M29" i="6"/>
  <c r="L29" i="6"/>
  <c r="K29" i="6"/>
  <c r="J29" i="6"/>
  <c r="I29" i="6"/>
  <c r="H29" i="6"/>
  <c r="G29" i="6"/>
  <c r="F29" i="6"/>
  <c r="E29" i="6"/>
  <c r="D29" i="6"/>
  <c r="M28" i="6"/>
  <c r="L28" i="6"/>
  <c r="K28" i="6"/>
  <c r="J28" i="6"/>
  <c r="I28" i="6"/>
  <c r="H28" i="6"/>
  <c r="G28" i="6"/>
  <c r="F28" i="6"/>
  <c r="E28" i="6"/>
  <c r="D28" i="6"/>
  <c r="M27" i="6"/>
  <c r="L27" i="6"/>
  <c r="K27" i="6"/>
  <c r="J27" i="6"/>
  <c r="I27" i="6"/>
  <c r="H27" i="6"/>
  <c r="G27" i="6"/>
  <c r="F27" i="6"/>
  <c r="E27" i="6"/>
  <c r="D27" i="6"/>
  <c r="M26" i="6"/>
  <c r="L26" i="6"/>
  <c r="K26" i="6"/>
  <c r="J26" i="6"/>
  <c r="I26" i="6"/>
  <c r="H26" i="6"/>
  <c r="G26" i="6"/>
  <c r="F26" i="6"/>
  <c r="E26" i="6"/>
  <c r="D26" i="6"/>
  <c r="M25" i="6"/>
  <c r="L25" i="6"/>
  <c r="K25" i="6"/>
  <c r="J25" i="6"/>
  <c r="I25" i="6"/>
  <c r="H25" i="6"/>
  <c r="G25" i="6"/>
  <c r="F25" i="6"/>
  <c r="E25" i="6"/>
  <c r="D25" i="6"/>
  <c r="M24" i="6"/>
  <c r="L24" i="6"/>
  <c r="K24" i="6"/>
  <c r="J24" i="6"/>
  <c r="I24" i="6"/>
  <c r="H24" i="6"/>
  <c r="G24" i="6"/>
  <c r="F24" i="6"/>
  <c r="E24" i="6"/>
  <c r="D24" i="6"/>
  <c r="M23" i="6"/>
  <c r="L23" i="6"/>
  <c r="K23" i="6"/>
  <c r="J23" i="6"/>
  <c r="I23" i="6"/>
  <c r="H23" i="6"/>
  <c r="G23" i="6"/>
  <c r="F23" i="6"/>
  <c r="E23" i="6"/>
  <c r="D23" i="6"/>
  <c r="M18" i="6"/>
  <c r="L18" i="6"/>
  <c r="K18" i="6"/>
  <c r="J18" i="6"/>
  <c r="I18" i="6"/>
  <c r="H18" i="6"/>
  <c r="G18" i="6"/>
  <c r="F18" i="6"/>
  <c r="E18" i="6"/>
  <c r="M17" i="6"/>
  <c r="L17" i="6"/>
  <c r="K17" i="6"/>
  <c r="J17" i="6"/>
  <c r="I17" i="6"/>
  <c r="H17" i="6"/>
  <c r="G17" i="6"/>
  <c r="F17" i="6"/>
  <c r="E17" i="6"/>
  <c r="D17" i="6"/>
  <c r="M16" i="6"/>
  <c r="L16" i="6"/>
  <c r="K16" i="6"/>
  <c r="J16" i="6"/>
  <c r="I16" i="6"/>
  <c r="H16" i="6"/>
  <c r="G16" i="6"/>
  <c r="F16" i="6"/>
  <c r="E16" i="6"/>
  <c r="D16" i="6"/>
  <c r="M15" i="6"/>
  <c r="L15" i="6"/>
  <c r="K15" i="6"/>
  <c r="J15" i="6"/>
  <c r="I15" i="6"/>
  <c r="H15" i="6"/>
  <c r="G15" i="6"/>
  <c r="F15" i="6"/>
  <c r="E15" i="6"/>
  <c r="D15" i="6"/>
  <c r="M14" i="6"/>
  <c r="L14" i="6"/>
  <c r="K14" i="6"/>
  <c r="J14" i="6"/>
  <c r="I14" i="6"/>
  <c r="H14" i="6"/>
  <c r="G14" i="6"/>
  <c r="F14" i="6"/>
  <c r="E14" i="6"/>
  <c r="D14" i="6"/>
  <c r="M13" i="6"/>
  <c r="L13" i="6"/>
  <c r="K13" i="6"/>
  <c r="J13" i="6"/>
  <c r="I13" i="6"/>
  <c r="H13" i="6"/>
  <c r="G13" i="6"/>
  <c r="F13" i="6"/>
  <c r="E13" i="6"/>
  <c r="D13" i="6"/>
  <c r="M12" i="6"/>
  <c r="L12" i="6"/>
  <c r="K12" i="6"/>
  <c r="J12" i="6"/>
  <c r="I12" i="6"/>
  <c r="H12" i="6"/>
  <c r="G12" i="6"/>
  <c r="F12" i="6"/>
  <c r="E12" i="6"/>
  <c r="D12" i="6"/>
  <c r="M11" i="6"/>
  <c r="L11" i="6"/>
  <c r="K11" i="6"/>
  <c r="J11" i="6"/>
  <c r="I11" i="6"/>
  <c r="H11" i="6"/>
  <c r="G11" i="6"/>
  <c r="F11" i="6"/>
  <c r="E11" i="6"/>
  <c r="D11" i="6"/>
  <c r="M10" i="6"/>
  <c r="L10" i="6"/>
  <c r="K10" i="6"/>
  <c r="J10" i="6"/>
  <c r="I10" i="6"/>
  <c r="H10" i="6"/>
  <c r="G10" i="6"/>
  <c r="F10" i="6"/>
  <c r="E10" i="6"/>
  <c r="D10" i="6"/>
  <c r="M9" i="6"/>
  <c r="L9" i="6"/>
  <c r="K9" i="6"/>
  <c r="J9" i="6"/>
  <c r="I9" i="6"/>
  <c r="H9" i="6"/>
  <c r="G9" i="6"/>
  <c r="F9" i="6"/>
  <c r="E9" i="6"/>
  <c r="D9" i="6"/>
  <c r="AH28" i="1"/>
  <c r="AK22" i="1"/>
  <c r="AJ22" i="1"/>
  <c r="AK21" i="1"/>
  <c r="AJ21" i="1"/>
  <c r="AK20" i="1"/>
  <c r="AJ20" i="1"/>
  <c r="AC20" i="1"/>
  <c r="AK19" i="1"/>
  <c r="AJ19" i="1"/>
  <c r="AK18" i="1"/>
  <c r="AJ18" i="1"/>
  <c r="AK17" i="1"/>
  <c r="AJ17" i="1"/>
  <c r="AF17" i="1"/>
  <c r="AE17" i="1"/>
  <c r="J17" i="1"/>
  <c r="I17" i="1"/>
  <c r="H17" i="1"/>
  <c r="N17" i="1" s="1"/>
  <c r="AK16" i="1"/>
  <c r="AJ16" i="1"/>
  <c r="AF16" i="1"/>
  <c r="AE16" i="1"/>
  <c r="J16" i="1"/>
  <c r="I16" i="1"/>
  <c r="H16" i="1"/>
  <c r="N16" i="1" s="1"/>
  <c r="AI15" i="1"/>
  <c r="AF15" i="1"/>
  <c r="AE15" i="1"/>
  <c r="J15" i="1"/>
  <c r="I15" i="1"/>
  <c r="H15" i="1"/>
  <c r="N15" i="1" s="1"/>
  <c r="AF14" i="1"/>
  <c r="AE14" i="1"/>
  <c r="J14" i="1"/>
  <c r="I14" i="1"/>
  <c r="H14" i="1"/>
  <c r="N14" i="1" s="1"/>
  <c r="K13" i="1"/>
  <c r="J13" i="1"/>
  <c r="I13" i="1"/>
  <c r="H13" i="1"/>
  <c r="N13" i="1" s="1"/>
  <c r="J12" i="1"/>
  <c r="I12" i="1"/>
  <c r="H12" i="1"/>
  <c r="N12" i="1" s="1"/>
  <c r="J11" i="1"/>
  <c r="I11" i="1"/>
  <c r="O11" i="1" s="1"/>
  <c r="H11" i="1"/>
  <c r="N11" i="1" s="1"/>
  <c r="J10" i="1"/>
  <c r="I10" i="1"/>
  <c r="H10" i="1"/>
  <c r="N10" i="1" s="1"/>
  <c r="J9" i="1"/>
  <c r="I9" i="1"/>
  <c r="H9" i="1"/>
  <c r="N9" i="1" s="1"/>
  <c r="J8" i="1"/>
  <c r="I8" i="1"/>
  <c r="H8" i="1"/>
  <c r="N8" i="1" s="1"/>
  <c r="J7" i="1"/>
  <c r="I7" i="1"/>
  <c r="H7" i="1"/>
  <c r="N7" i="1" s="1"/>
  <c r="J6" i="1"/>
  <c r="I6" i="1"/>
  <c r="H6" i="1"/>
  <c r="N6" i="1" s="1"/>
  <c r="N5" i="1"/>
  <c r="J5" i="1"/>
  <c r="I5" i="1"/>
  <c r="F35" i="7"/>
  <c r="E35" i="7"/>
  <c r="B35" i="7"/>
  <c r="A35" i="7"/>
  <c r="H35" i="7" s="1"/>
  <c r="F34" i="7"/>
  <c r="E34" i="7"/>
  <c r="B34" i="7"/>
  <c r="A34" i="7"/>
  <c r="H34" i="7" s="1"/>
  <c r="F33" i="7"/>
  <c r="E33" i="7"/>
  <c r="B33" i="7"/>
  <c r="A33" i="7"/>
  <c r="H33" i="7" s="1"/>
  <c r="F32" i="7"/>
  <c r="E32" i="7"/>
  <c r="B32" i="7"/>
  <c r="A32" i="7"/>
  <c r="H32" i="7" s="1"/>
  <c r="K31" i="7"/>
  <c r="F31" i="7"/>
  <c r="E31" i="7"/>
  <c r="B31" i="7"/>
  <c r="I31" i="7" s="1"/>
  <c r="A31" i="7"/>
  <c r="H31" i="7" s="1"/>
  <c r="F30" i="7"/>
  <c r="E30" i="7"/>
  <c r="B30" i="7"/>
  <c r="I30" i="7" s="1"/>
  <c r="A30" i="7"/>
  <c r="H30" i="7" s="1"/>
  <c r="R21" i="7"/>
  <c r="T21" i="7"/>
  <c r="Q21" i="7"/>
  <c r="S21" i="7"/>
  <c r="T10" i="1"/>
  <c r="V9" i="1"/>
  <c r="Z10" i="1"/>
  <c r="B3" i="6"/>
  <c r="U10" i="1"/>
  <c r="V6" i="1"/>
  <c r="Z9" i="1"/>
  <c r="B4" i="6"/>
  <c r="D19" i="3"/>
  <c r="D10" i="3"/>
  <c r="C10" i="3"/>
  <c r="I32" i="7" l="1"/>
  <c r="I33" i="7"/>
  <c r="I34" i="7"/>
  <c r="I35" i="7"/>
  <c r="I20" i="1"/>
  <c r="O16" i="1"/>
  <c r="O6" i="1"/>
  <c r="O13" i="1"/>
  <c r="O8" i="1"/>
  <c r="F10" i="3"/>
  <c r="C19" i="3"/>
  <c r="C14" i="3"/>
  <c r="V10" i="1"/>
  <c r="O7" i="1"/>
  <c r="O9" i="1"/>
  <c r="O10" i="1"/>
  <c r="O12" i="1"/>
  <c r="O14" i="1"/>
  <c r="O15" i="1"/>
  <c r="O17" i="1"/>
  <c r="I21" i="1"/>
  <c r="K14" i="1" s="1"/>
  <c r="K16" i="1" l="1"/>
  <c r="K6" i="1"/>
  <c r="K11" i="1"/>
  <c r="K8" i="1"/>
  <c r="K9" i="1"/>
  <c r="E13" i="3"/>
  <c r="E12" i="3"/>
  <c r="K15" i="1"/>
  <c r="K10" i="1"/>
  <c r="K7" i="1"/>
  <c r="K12" i="1"/>
  <c r="K17" i="1"/>
</calcChain>
</file>

<file path=xl/connections.xml><?xml version="1.0" encoding="utf-8"?>
<connections xmlns="http://schemas.openxmlformats.org/spreadsheetml/2006/main">
  <connection id="1" name="Query - Calculations" description="Connection to the 'Calculations' query in the workbook." type="100" refreshedVersion="6" minRefreshableVersion="5">
    <extLst>
      <ext xmlns:x15="http://schemas.microsoft.com/office/spreadsheetml/2010/11/main" uri="{DE250136-89BD-433C-8126-D09CA5730AF9}">
        <x15:connection id="41a95319-d123-49d9-9854-0a61f5cd605e">
          <x15:oledbPr connection="Provider=Microsoft.Mashup.OleDb.1;Data Source=$Workbook$;Location=Calculations;Extended Properties=&quot;&quot;">
            <x15:dbTables>
              <x15:dbTable name="Calculations"/>
            </x15:dbTables>
          </x15:oledbPr>
        </x15:connection>
      </ext>
    </extLst>
  </connection>
  <connection id="2" name="Query - customers_table" description="Connection to the 'customers_table' query in the workbook." type="100" refreshedVersion="6" minRefreshableVersion="5">
    <extLst>
      <ext xmlns:x15="http://schemas.microsoft.com/office/spreadsheetml/2010/11/main" uri="{DE250136-89BD-433C-8126-D09CA5730AF9}">
        <x15:connection id="f44288a8-4943-4ba7-8ba2-ae5d1382a29a"/>
      </ext>
    </extLst>
  </connection>
  <connection id="3" name="Query - Date" description="Connection to the 'Date' query in the workbook." type="100" refreshedVersion="6" minRefreshableVersion="5">
    <extLst>
      <ext xmlns:x15="http://schemas.microsoft.com/office/spreadsheetml/2010/11/main" uri="{DE250136-89BD-433C-8126-D09CA5730AF9}">
        <x15:connection id="6190cafc-6c20-4e15-b012-b1eb07bee5fa">
          <x15:oledbPr connection="Provider=Microsoft.Mashup.OleDb.1;Data Source=$Workbook$;Location=Date;Extended Properties=&quot;&quot;">
            <x15:dbTables>
              <x15:dbTable name="Date"/>
            </x15:dbTables>
          </x15:oledbPr>
        </x15:connection>
      </ext>
    </extLst>
  </connection>
  <connection id="4" name="Query - fact_table" description="Connection to the 'fact_table' query in the workbook." type="100" refreshedVersion="6" minRefreshableVersion="5">
    <extLst>
      <ext xmlns:x15="http://schemas.microsoft.com/office/spreadsheetml/2010/11/main" uri="{DE250136-89BD-433C-8126-D09CA5730AF9}">
        <x15:connection id="0a9211ef-b016-4de9-862e-0206fb86cead">
          <x15:oledbPr connection="Provider=Microsoft.Mashup.OleDb.1;Data Source=$Workbook$;Location=fact_table;Extended Properties=&quot;&quot;">
            <x15:dbTables>
              <x15:dbTable name="fact_table"/>
            </x15:dbTables>
          </x15:oledbPr>
        </x15:connection>
      </ext>
    </extLst>
  </connection>
  <connection id="5" name="Query - monthly_store_targets" description="Connection to the 'monthly_store_targets' query in the workbook." type="100" refreshedVersion="6" minRefreshableVersion="5">
    <extLst>
      <ext xmlns:x15="http://schemas.microsoft.com/office/spreadsheetml/2010/11/main" uri="{DE250136-89BD-433C-8126-D09CA5730AF9}">
        <x15:connection id="3c27e21d-4c06-4a98-a2c3-1d89952be3c8">
          <x15:oledbPr connection="Provider=Microsoft.Mashup.OleDb.1;Data Source=$Workbook$;Location=monthly_store_targets;Extended Properties=&quot;&quot;">
            <x15:dbTables>
              <x15:dbTable name="monthly_store_targets"/>
            </x15:dbTables>
          </x15:oledbPr>
        </x15:connection>
      </ext>
    </extLst>
  </connection>
  <connection id="6" name="Query - products_table" description="Connection to the 'products_table' query in the workbook." type="100" refreshedVersion="6" minRefreshableVersion="5">
    <extLst>
      <ext xmlns:x15="http://schemas.microsoft.com/office/spreadsheetml/2010/11/main" uri="{DE250136-89BD-433C-8126-D09CA5730AF9}">
        <x15:connection id="79995f32-47bb-4ccb-b8f1-66bc8dcbbeb6">
          <x15:oledbPr connection="Provider=Microsoft.Mashup.OleDb.1;Data Source=$Workbook$;Location=products_table;Extended Properties=&quot;&quot;">
            <x15:dbTables>
              <x15:dbTable name="products_table"/>
            </x15:dbTables>
          </x15:oledbPr>
        </x15:connection>
      </ext>
    </extLst>
  </connection>
  <connection id="7" name="Query - sales_persons_table" description="Connection to the 'sales_persons_table' query in the workbook." type="100" refreshedVersion="6" minRefreshableVersion="5">
    <extLst>
      <ext xmlns:x15="http://schemas.microsoft.com/office/spreadsheetml/2010/11/main" uri="{DE250136-89BD-433C-8126-D09CA5730AF9}">
        <x15:connection id="e982e198-8bc6-4dfe-99ae-ef6e23a5ccea">
          <x15:oledbPr connection="Provider=Microsoft.Mashup.OleDb.1;Data Source=$Workbook$;Location=sales_persons_table;Extended Properties=&quot;&quot;">
            <x15:dbTables>
              <x15:dbTable name="sales_persons_table"/>
            </x15:dbTables>
          </x15:oledbPr>
        </x15:connection>
      </ext>
    </extLst>
  </connection>
  <connection id="8"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<sst xmlns="http://schemas.openxmlformats.org/spreadsheetml/2006/main" count="350" uniqueCount="223">
  <si>
    <t>Total Revenue</t>
  </si>
  <si>
    <t>COGS</t>
  </si>
  <si>
    <t>Profit Margin</t>
  </si>
  <si>
    <t>Profit Margin %</t>
  </si>
  <si>
    <t># Transactions</t>
  </si>
  <si>
    <t>Total Refund</t>
  </si>
  <si>
    <t>Refund Rate</t>
  </si>
  <si>
    <t># Products</t>
  </si>
  <si>
    <t xml:space="preserve"> Qty Returned</t>
  </si>
  <si>
    <t xml:space="preserve"> Total Qty</t>
  </si>
  <si>
    <t>Total Target</t>
  </si>
  <si>
    <t>Barron-Fleming</t>
  </si>
  <si>
    <t>Berg-Trujillo</t>
  </si>
  <si>
    <t>Lee-Myers</t>
  </si>
  <si>
    <t>Lopez</t>
  </si>
  <si>
    <t>Martinez</t>
  </si>
  <si>
    <t>Miller</t>
  </si>
  <si>
    <t>Myers-Lopez</t>
  </si>
  <si>
    <t>Novak PLC</t>
  </si>
  <si>
    <t>Thomas</t>
  </si>
  <si>
    <t>Valdez</t>
  </si>
  <si>
    <t>Grand Total</t>
  </si>
  <si>
    <t>Store Name</t>
  </si>
  <si>
    <t>Month</t>
  </si>
  <si>
    <t>Apr</t>
  </si>
  <si>
    <t>Dec</t>
  </si>
  <si>
    <t>Feb</t>
  </si>
  <si>
    <t>Jan</t>
  </si>
  <si>
    <t>Jul</t>
  </si>
  <si>
    <t>Jun</t>
  </si>
  <si>
    <t>Mar</t>
  </si>
  <si>
    <t>May</t>
  </si>
  <si>
    <t>Nov</t>
  </si>
  <si>
    <t>Oct</t>
  </si>
  <si>
    <t>Sep</t>
  </si>
  <si>
    <t>Revenue</t>
  </si>
  <si>
    <t>Target</t>
  </si>
  <si>
    <t>Variance</t>
  </si>
  <si>
    <t>Aug</t>
  </si>
  <si>
    <t>Row Labels</t>
  </si>
  <si>
    <t>Highlights</t>
  </si>
  <si>
    <t>large-1</t>
  </si>
  <si>
    <t>large-2</t>
  </si>
  <si>
    <t>Weekday</t>
  </si>
  <si>
    <t>Weekend</t>
  </si>
  <si>
    <t>Total Revenue2</t>
  </si>
  <si>
    <t>Q-1</t>
  </si>
  <si>
    <t>Q-2</t>
  </si>
  <si>
    <t>Q-3</t>
  </si>
  <si>
    <t>Q-4</t>
  </si>
  <si>
    <t>Link to above chart</t>
  </si>
  <si>
    <t xml:space="preserve"> Quarter</t>
  </si>
  <si>
    <t>Average</t>
  </si>
  <si>
    <t>Caption:</t>
  </si>
  <si>
    <t>Quarter</t>
  </si>
  <si>
    <t>Sun</t>
  </si>
  <si>
    <t>Mon</t>
  </si>
  <si>
    <t>Tue</t>
  </si>
  <si>
    <t>Wed</t>
  </si>
  <si>
    <t>Thu</t>
  </si>
  <si>
    <t>Fri</t>
  </si>
  <si>
    <t>Sat</t>
  </si>
  <si>
    <t>Highlight</t>
  </si>
  <si>
    <t>Option</t>
  </si>
  <si>
    <t>Combo Box</t>
  </si>
  <si>
    <t>Customers</t>
  </si>
  <si>
    <t>Location</t>
  </si>
  <si>
    <t>Top 5 Customers</t>
  </si>
  <si>
    <t>Bottom 5 Customers</t>
  </si>
  <si>
    <t>John Brown</t>
  </si>
  <si>
    <t>Paul Noble</t>
  </si>
  <si>
    <t>Laura Gross</t>
  </si>
  <si>
    <t>Judith Simmons</t>
  </si>
  <si>
    <t>Kristine Barrett</t>
  </si>
  <si>
    <t>Top 5 Location</t>
  </si>
  <si>
    <t>Indiana</t>
  </si>
  <si>
    <t>New York</t>
  </si>
  <si>
    <t>California</t>
  </si>
  <si>
    <t>Michigan</t>
  </si>
  <si>
    <t>Missouri</t>
  </si>
  <si>
    <t>Virginia</t>
  </si>
  <si>
    <t>Washington</t>
  </si>
  <si>
    <t>Bottom 5 Location</t>
  </si>
  <si>
    <t>Customer Table</t>
  </si>
  <si>
    <t>Location Table</t>
  </si>
  <si>
    <t>Full Name</t>
  </si>
  <si>
    <t>Charts</t>
  </si>
  <si>
    <t># Customers</t>
  </si>
  <si>
    <t># Locations</t>
  </si>
  <si>
    <t>0-20</t>
  </si>
  <si>
    <t>21-30</t>
  </si>
  <si>
    <t>31-40</t>
  </si>
  <si>
    <t>41-50</t>
  </si>
  <si>
    <t>51 +</t>
  </si>
  <si>
    <t>Female</t>
  </si>
  <si>
    <t>Male</t>
  </si>
  <si>
    <t>Icon</t>
  </si>
  <si>
    <t>▪</t>
  </si>
  <si>
    <t>●</t>
  </si>
  <si>
    <t>+0.0%;-0.0%</t>
  </si>
  <si>
    <t>New Chart</t>
  </si>
  <si>
    <t>Days</t>
  </si>
  <si>
    <t>Return Rate</t>
  </si>
  <si>
    <t>A Splash</t>
  </si>
  <si>
    <t>Above Brew</t>
  </si>
  <si>
    <t>Administration Fusion</t>
  </si>
  <si>
    <t>Against Rush</t>
  </si>
  <si>
    <t>Alone Splash</t>
  </si>
  <si>
    <t>Animal Breeze</t>
  </si>
  <si>
    <t>Any Brew</t>
  </si>
  <si>
    <t>Assume Mist</t>
  </si>
  <si>
    <t>Attorney Mist</t>
  </si>
  <si>
    <t>Audience Fusion</t>
  </si>
  <si>
    <t>Bar Drop</t>
  </si>
  <si>
    <t>Begin Brew</t>
  </si>
  <si>
    <t>Boy Splash</t>
  </si>
  <si>
    <t>Build Brew</t>
  </si>
  <si>
    <t>Center Mist</t>
  </si>
  <si>
    <t>Century Dew</t>
  </si>
  <si>
    <t>Choice Mist</t>
  </si>
  <si>
    <t>Clearly Brew</t>
  </si>
  <si>
    <t>Common Splash</t>
  </si>
  <si>
    <t>Dark Brew</t>
  </si>
  <si>
    <t>Debate Rush</t>
  </si>
  <si>
    <t>Democrat Dew</t>
  </si>
  <si>
    <t>Despite Rush</t>
  </si>
  <si>
    <t>Develop Breeze</t>
  </si>
  <si>
    <t>Different Dew</t>
  </si>
  <si>
    <t>Discussion Fusion</t>
  </si>
  <si>
    <t>Door Brew</t>
  </si>
  <si>
    <t>Eight Brew</t>
  </si>
  <si>
    <t>Few Dew</t>
  </si>
  <si>
    <t>For Splash</t>
  </si>
  <si>
    <t>Friend Splash</t>
  </si>
  <si>
    <t>Ground Rush</t>
  </si>
  <si>
    <t>Heavy Rush</t>
  </si>
  <si>
    <t>Hold Brew</t>
  </si>
  <si>
    <t>Hotel Splash</t>
  </si>
  <si>
    <t>Husband Rush</t>
  </si>
  <si>
    <t>Include Breeze</t>
  </si>
  <si>
    <t>Indeed Splash</t>
  </si>
  <si>
    <t>Into Mist</t>
  </si>
  <si>
    <t>Its Dew</t>
  </si>
  <si>
    <t>Itself Breeze</t>
  </si>
  <si>
    <t>Large Fusion</t>
  </si>
  <si>
    <t>Left Breeze</t>
  </si>
  <si>
    <t>Leg Rush</t>
  </si>
  <si>
    <t>Let Dew</t>
  </si>
  <si>
    <t>Level Splash</t>
  </si>
  <si>
    <t>Majority Rush</t>
  </si>
  <si>
    <t>Management Drop</t>
  </si>
  <si>
    <t>Method Mist</t>
  </si>
  <si>
    <t>Might Mist</t>
  </si>
  <si>
    <t>Mind Dew</t>
  </si>
  <si>
    <t>Minute Rush</t>
  </si>
  <si>
    <t>Name Rush</t>
  </si>
  <si>
    <t>Nice Mist</t>
  </si>
  <si>
    <t>Note Splash</t>
  </si>
  <si>
    <t>Now Mist</t>
  </si>
  <si>
    <t>Of Rush</t>
  </si>
  <si>
    <t>Only Dew</t>
  </si>
  <si>
    <t>Onto Dew</t>
  </si>
  <si>
    <t>Over Splash</t>
  </si>
  <si>
    <t>Own Drop</t>
  </si>
  <si>
    <t>Pay Mist</t>
  </si>
  <si>
    <t>Piece Dew</t>
  </si>
  <si>
    <t>Pm Fusion</t>
  </si>
  <si>
    <t>Point Splash</t>
  </si>
  <si>
    <t>Poor Breeze</t>
  </si>
  <si>
    <t>Property Mist</t>
  </si>
  <si>
    <t>Protect Rush</t>
  </si>
  <si>
    <t>Question Breeze</t>
  </si>
  <si>
    <t>Race Rush</t>
  </si>
  <si>
    <t>Recent Splash</t>
  </si>
  <si>
    <t>Record Fusion</t>
  </si>
  <si>
    <t>Relate Mist</t>
  </si>
  <si>
    <t>Represent Drop</t>
  </si>
  <si>
    <t>Result Splash</t>
  </si>
  <si>
    <t>Return Mist</t>
  </si>
  <si>
    <t>Reveal Rush</t>
  </si>
  <si>
    <t>Sea Drop</t>
  </si>
  <si>
    <t>Second Splash</t>
  </si>
  <si>
    <t>Series Mist</t>
  </si>
  <si>
    <t>Side Brew</t>
  </si>
  <si>
    <t>Society Rush</t>
  </si>
  <si>
    <t>Soldier Splash</t>
  </si>
  <si>
    <t>Somebody Fusion</t>
  </si>
  <si>
    <t>Sometimes Dew</t>
  </si>
  <si>
    <t>Street Breeze</t>
  </si>
  <si>
    <t>Threat Mist</t>
  </si>
  <si>
    <t>Throughout Fusion</t>
  </si>
  <si>
    <t>Too Splash</t>
  </si>
  <si>
    <t>Training Mist</t>
  </si>
  <si>
    <t>Tv Breeze</t>
  </si>
  <si>
    <t>Two Breeze</t>
  </si>
  <si>
    <t>Value Fusion</t>
  </si>
  <si>
    <t>Wait Drop</t>
  </si>
  <si>
    <t>Way Splash</t>
  </si>
  <si>
    <t>West Rush</t>
  </si>
  <si>
    <t>What Rush</t>
  </si>
  <si>
    <t>Window Dew</t>
  </si>
  <si>
    <t>Woman Dew</t>
  </si>
  <si>
    <t>Would Rush</t>
  </si>
  <si>
    <t>Top 5 Products</t>
  </si>
  <si>
    <t>Products</t>
  </si>
  <si>
    <t>Total Quantity</t>
  </si>
  <si>
    <t xml:space="preserve">Option </t>
  </si>
  <si>
    <t>Quantity</t>
  </si>
  <si>
    <t>Alcoholic Beverage</t>
  </si>
  <si>
    <t>Coffee</t>
  </si>
  <si>
    <t>Energy Drink</t>
  </si>
  <si>
    <t>Juice</t>
  </si>
  <si>
    <t>Soft Drink</t>
  </si>
  <si>
    <t>Sports Drink</t>
  </si>
  <si>
    <t>Tea</t>
  </si>
  <si>
    <t>Water</t>
  </si>
  <si>
    <t>Brandon Johnson</t>
  </si>
  <si>
    <t>Jonathan Parsons</t>
  </si>
  <si>
    <t>Elizabeth Lynch</t>
  </si>
  <si>
    <t>Nancy Logan</t>
  </si>
  <si>
    <t>Andrew Robinson</t>
  </si>
  <si>
    <t>Pennsylvania</t>
  </si>
  <si>
    <t>Texas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</si>
</sst>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3" formatCode="_(* #,##0.00_);_(* \(#,##0.00\);_(* &quot;-&quot;??_);_(@_)"/>
    <numFmt numFmtId="164" formatCode="\$#,##0.00;\(\$#,##0.00\);\$#,##0.00"/>
    <numFmt numFmtId="165" formatCode="0.00%;\-0.00%;0.00%"/>
    <numFmt numFmtId="166" formatCode="_(* #,##0_);_(* \(#,##0\);_(* &quot;-&quot;??_);_(@_)"/>
    <numFmt numFmtId="167" formatCode="\$#,##0;\(\$#,##0\);\$#,##0"/>
    <numFmt numFmtId="168" formatCode="[&gt;=1000000]&quot;$&quot;0.0,,&quot;M&quot;;[&gt;1000]&quot;$&quot;0.0,&quot;K&quot;;0"/>
    <numFmt numFmtId="169" formatCode="\+0.0%;\-0.0%"/>
    <numFmt numFmtId="170" formatCode="[&gt;=1000000]&quot;$&quot;0.00,,&quot;M&quot;;[&gt;1000]&quot;$&quot;0.00,&quot;K&quot;;0.0"/>
    <numFmt numFmtId="171" formatCode="[&gt;=1000000]&quot;$&quot;0,,&quot;M&quot;;[&gt;1000]&quot;$&quot;0,&quot;K&quot;;0"/>
    <numFmt numFmtId="172" formatCode="[&gt;=1000000]&quot;$&quot;0.0,,&quot;M&quot;;[&gt;1000]&quot;$&quot;0.0,&quot;K&quot;;0.0"/>
    <numFmt numFmtId="173" formatCode="[&gt;=1000000]&quot;$&quot;0.00,,&quot;M&quot;;[&gt;1000]&quot;$&quot;0.00,&quot;K&quot;;0.00"/>
    <numFmt numFmtId="174" formatCode=";;"/>
    <numFmt numFmtId="175"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1"/>
      <color theme="0"/>
      <name val="Calibri"/>
      <family val="2"/>
      <scheme val="minor"/>
    </font>
    <font>
      <sz val="11"/>
      <name val="Calibri"/>
      <family val="2"/>
      <scheme val="minor"/>
    </font>
    <font>
      <i/>
      <sz val="11"/>
      <color theme="1"/>
      <name val="Calibri"/>
      <family val="2"/>
      <scheme val="minor"/>
    </font>
    <font>
      <sz val="8"/>
      <color rgb="FF000000"/>
      <name val="Segoe UI"/>
      <family val="2"/>
    </font>
    <font>
      <b/>
      <sz val="16"/>
      <color rgb="FF92D050"/>
      <name val="Calibri"/>
      <family val="2"/>
      <scheme val="minor"/>
    </font>
    <font>
      <sz val="14"/>
      <color theme="1"/>
      <name val="Calibri"/>
      <family val="2"/>
    </font>
    <font>
      <sz val="20"/>
      <color theme="1"/>
      <name val="Calibri"/>
      <family val="2"/>
    </font>
    <font>
      <sz val="14"/>
      <color theme="1"/>
      <name val="Calibri"/>
      <family val="2"/>
      <scheme val="minor"/>
    </font>
    <font>
      <sz val="20"/>
      <color theme="1"/>
      <name val="Calibri"/>
      <family val="2"/>
      <scheme val="minor"/>
    </font>
    <font>
      <sz val="11"/>
      <color theme="0"/>
      <name val="Calibri"/>
      <family val="2"/>
      <scheme val="minor"/>
    </font>
  </fonts>
  <fills count="1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5"/>
        <bgColor indexed="6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8" tint="-0.249977111117893"/>
        <bgColor indexed="64"/>
      </patternFill>
    </fill>
    <fill>
      <patternFill patternType="solid">
        <fgColor theme="4" tint="0.79998168889431442"/>
        <bgColor indexed="64"/>
      </patternFill>
    </fill>
    <fill>
      <patternFill patternType="solid">
        <fgColor rgb="FFFFFF00"/>
        <bgColor indexed="64"/>
      </patternFill>
    </fill>
    <fill>
      <patternFill patternType="solid">
        <fgColor rgb="FF1F8CB3"/>
        <bgColor theme="4" tint="0.79998168889431442"/>
      </patternFill>
    </fill>
    <fill>
      <patternFill patternType="solid">
        <fgColor rgb="FF1F8CB3"/>
        <bgColor indexed="64"/>
      </patternFill>
    </fill>
    <fill>
      <patternFill patternType="solid">
        <fgColor rgb="FF3399FD"/>
        <bgColor indexed="64"/>
      </patternFill>
    </fill>
    <fill>
      <patternFill patternType="solid">
        <fgColor rgb="FFC00000"/>
        <bgColor indexed="64"/>
      </patternFill>
    </fill>
    <fill>
      <patternFill patternType="solid">
        <fgColor rgb="FF0070C0"/>
        <bgColor indexed="64"/>
      </patternFill>
    </fill>
    <fill>
      <patternFill patternType="solid">
        <fgColor rgb="FFFF0000"/>
        <bgColor indexed="64"/>
      </patternFill>
    </fill>
  </fills>
  <borders count="22">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right style="medium">
        <color theme="0" tint="-4.9989318521683403E-2"/>
      </right>
      <top/>
      <bottom style="medium">
        <color theme="0" tint="-4.9989318521683403E-2"/>
      </bottom>
      <diagonal/>
    </border>
    <border>
      <left style="medium">
        <color theme="0" tint="-4.9989318521683403E-2"/>
      </left>
      <right style="medium">
        <color theme="0" tint="-4.9989318521683403E-2"/>
      </right>
      <top/>
      <bottom style="medium">
        <color theme="0" tint="-4.9989318521683403E-2"/>
      </bottom>
      <diagonal/>
    </border>
    <border>
      <left style="medium">
        <color theme="0" tint="-4.9989318521683403E-2"/>
      </left>
      <right/>
      <top/>
      <bottom style="medium">
        <color theme="0" tint="-4.9989318521683403E-2"/>
      </bottom>
      <diagonal/>
    </border>
    <border>
      <left/>
      <right style="medium">
        <color theme="0" tint="-4.9989318521683403E-2"/>
      </right>
      <top style="medium">
        <color theme="0" tint="-4.9989318521683403E-2"/>
      </top>
      <bottom style="medium">
        <color theme="0" tint="-4.9989318521683403E-2"/>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top style="medium">
        <color theme="0" tint="-4.9989318521683403E-2"/>
      </top>
      <bottom style="medium">
        <color theme="0" tint="-4.9989318521683403E-2"/>
      </bottom>
      <diagonal/>
    </border>
    <border>
      <left/>
      <right style="medium">
        <color theme="0" tint="-4.9989318521683403E-2"/>
      </right>
      <top style="medium">
        <color theme="0" tint="-4.9989318521683403E-2"/>
      </top>
      <bottom/>
      <diagonal/>
    </border>
    <border>
      <left style="medium">
        <color theme="0" tint="-4.9989318521683403E-2"/>
      </left>
      <right style="medium">
        <color theme="0" tint="-4.9989318521683403E-2"/>
      </right>
      <top style="medium">
        <color theme="0" tint="-4.9989318521683403E-2"/>
      </top>
      <bottom/>
      <diagonal/>
    </border>
    <border>
      <left style="medium">
        <color theme="0" tint="-4.9989318521683403E-2"/>
      </left>
      <right/>
      <top style="medium">
        <color theme="0" tint="-4.9989318521683403E-2"/>
      </top>
      <bottom/>
      <diagonal/>
    </border>
    <border>
      <left style="thin">
        <color indexed="64"/>
      </left>
      <right style="thin">
        <color indexed="64"/>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82">
    <xf numFmtId="0" fontId="0" fillId="0" borderId="0" xfId="0"/>
    <xf numFmtId="164" fontId="0" fillId="0" borderId="0" xfId="0" applyNumberFormat="1"/>
    <xf numFmtId="165" fontId="0" fillId="0" borderId="0" xfId="0" applyNumberFormat="1"/>
    <xf numFmtId="166" fontId="0" fillId="0" borderId="0" xfId="0" applyNumberFormat="1"/>
    <xf numFmtId="167" fontId="0" fillId="0" borderId="0" xfId="0" applyNumberFormat="1"/>
    <xf numFmtId="3" fontId="0" fillId="0" borderId="0" xfId="0" applyNumberFormat="1"/>
    <xf numFmtId="0" fontId="0" fillId="2" borderId="0" xfId="0" applyFill="1"/>
    <xf numFmtId="0" fontId="0" fillId="3" borderId="0" xfId="0" applyFill="1"/>
    <xf numFmtId="0" fontId="0" fillId="0" borderId="0" xfId="0" pivotButton="1"/>
    <xf numFmtId="168" fontId="0" fillId="0" borderId="0" xfId="0" applyNumberFormat="1"/>
    <xf numFmtId="0" fontId="0" fillId="4" borderId="0" xfId="0" applyFill="1"/>
    <xf numFmtId="0" fontId="0" fillId="5" borderId="0" xfId="0" applyFill="1"/>
    <xf numFmtId="170" fontId="0" fillId="0" borderId="0" xfId="0" applyNumberFormat="1"/>
    <xf numFmtId="0" fontId="2" fillId="6" borderId="1" xfId="0" applyFont="1" applyFill="1" applyBorder="1"/>
    <xf numFmtId="10" fontId="0" fillId="0" borderId="0" xfId="1" applyNumberFormat="1" applyFont="1"/>
    <xf numFmtId="0" fontId="0" fillId="0" borderId="0" xfId="0" applyAlignment="1">
      <alignment horizontal="center"/>
    </xf>
    <xf numFmtId="169" fontId="3" fillId="0" borderId="0" xfId="1" applyNumberFormat="1" applyFont="1" applyAlignment="1">
      <alignment horizontal="center"/>
    </xf>
    <xf numFmtId="0" fontId="3" fillId="0" borderId="0" xfId="0" applyFont="1" applyAlignment="1">
      <alignment horizontal="center"/>
    </xf>
    <xf numFmtId="0" fontId="0" fillId="0" borderId="2" xfId="0" pivotButton="1" applyBorder="1"/>
    <xf numFmtId="0" fontId="0" fillId="0" borderId="2" xfId="0" applyBorder="1"/>
    <xf numFmtId="0" fontId="0" fillId="0" borderId="2" xfId="0" applyBorder="1" applyAlignment="1">
      <alignment horizontal="left"/>
    </xf>
    <xf numFmtId="171" fontId="0" fillId="0" borderId="2" xfId="0" applyNumberFormat="1" applyBorder="1"/>
    <xf numFmtId="0" fontId="4" fillId="7" borderId="2" xfId="0" applyFont="1" applyFill="1" applyBorder="1"/>
    <xf numFmtId="0" fontId="4" fillId="0" borderId="0" xfId="0" applyFont="1" applyFill="1"/>
    <xf numFmtId="169" fontId="0" fillId="0" borderId="2" xfId="1" applyNumberFormat="1" applyFont="1" applyBorder="1"/>
    <xf numFmtId="169" fontId="0" fillId="0" borderId="0" xfId="1" applyNumberFormat="1" applyFont="1" applyBorder="1"/>
    <xf numFmtId="0" fontId="4" fillId="0" borderId="0" xfId="0" applyFont="1" applyFill="1" applyBorder="1"/>
    <xf numFmtId="0" fontId="4" fillId="8" borderId="0" xfId="0" applyFont="1" applyFill="1" applyBorder="1"/>
    <xf numFmtId="169" fontId="0" fillId="8" borderId="0" xfId="1" applyNumberFormat="1" applyFont="1" applyFill="1" applyBorder="1"/>
    <xf numFmtId="0" fontId="0" fillId="8" borderId="0" xfId="0" applyFill="1"/>
    <xf numFmtId="172" fontId="0" fillId="0" borderId="2" xfId="0" applyNumberFormat="1" applyBorder="1"/>
    <xf numFmtId="173" fontId="0" fillId="0" borderId="2" xfId="0" applyNumberFormat="1" applyBorder="1"/>
    <xf numFmtId="10" fontId="0" fillId="0" borderId="0" xfId="0" applyNumberFormat="1"/>
    <xf numFmtId="10" fontId="0" fillId="0" borderId="2" xfId="0" applyNumberFormat="1" applyBorder="1"/>
    <xf numFmtId="174" fontId="5" fillId="9" borderId="3" xfId="0" applyNumberFormat="1" applyFont="1" applyFill="1" applyBorder="1"/>
    <xf numFmtId="174" fontId="5" fillId="9" borderId="4" xfId="0" applyNumberFormat="1" applyFont="1" applyFill="1" applyBorder="1"/>
    <xf numFmtId="174" fontId="5" fillId="9" borderId="5" xfId="0" applyNumberFormat="1" applyFont="1" applyFill="1" applyBorder="1"/>
    <xf numFmtId="174" fontId="5" fillId="9" borderId="6" xfId="0" applyNumberFormat="1" applyFont="1" applyFill="1" applyBorder="1"/>
    <xf numFmtId="174" fontId="5" fillId="9" borderId="7" xfId="0" applyNumberFormat="1" applyFont="1" applyFill="1" applyBorder="1"/>
    <xf numFmtId="174" fontId="5" fillId="9" borderId="8" xfId="0" applyNumberFormat="1" applyFont="1" applyFill="1" applyBorder="1"/>
    <xf numFmtId="174" fontId="5" fillId="9" borderId="9" xfId="0" applyNumberFormat="1" applyFont="1" applyFill="1" applyBorder="1"/>
    <xf numFmtId="174" fontId="5" fillId="9" borderId="10" xfId="0" applyNumberFormat="1" applyFont="1" applyFill="1" applyBorder="1"/>
    <xf numFmtId="174" fontId="5" fillId="9" borderId="11" xfId="0" applyNumberFormat="1" applyFont="1" applyFill="1" applyBorder="1"/>
    <xf numFmtId="9" fontId="0" fillId="0" borderId="0" xfId="1" applyNumberFormat="1" applyFont="1"/>
    <xf numFmtId="0" fontId="0" fillId="10" borderId="0" xfId="0" applyFill="1"/>
    <xf numFmtId="0" fontId="0" fillId="0" borderId="0" xfId="0" applyFill="1" applyBorder="1" applyAlignment="1">
      <alignment horizontal="left"/>
    </xf>
    <xf numFmtId="169" fontId="0" fillId="0" borderId="2" xfId="0" applyNumberFormat="1" applyBorder="1"/>
    <xf numFmtId="0" fontId="2" fillId="11" borderId="2" xfId="0" applyFont="1" applyFill="1" applyBorder="1"/>
    <xf numFmtId="0" fontId="2" fillId="12" borderId="2" xfId="0" applyFont="1" applyFill="1" applyBorder="1"/>
    <xf numFmtId="43" fontId="0" fillId="0" borderId="0" xfId="2" applyFont="1"/>
    <xf numFmtId="175" fontId="0" fillId="0" borderId="2" xfId="0" applyNumberFormat="1" applyBorder="1"/>
    <xf numFmtId="172" fontId="0" fillId="0" borderId="0" xfId="0" applyNumberFormat="1"/>
    <xf numFmtId="0" fontId="2" fillId="13" borderId="2" xfId="0" applyFont="1" applyFill="1" applyBorder="1" applyAlignment="1">
      <alignment horizontal="center"/>
    </xf>
    <xf numFmtId="0" fontId="2" fillId="13" borderId="0" xfId="0" applyFont="1" applyFill="1" applyAlignment="1">
      <alignment horizontal="center"/>
    </xf>
    <xf numFmtId="0" fontId="2" fillId="13" borderId="12" xfId="0" applyFont="1" applyFill="1" applyBorder="1" applyAlignment="1">
      <alignment horizontal="center"/>
    </xf>
    <xf numFmtId="0" fontId="2" fillId="0" borderId="0" xfId="0" applyFont="1"/>
    <xf numFmtId="0" fontId="0" fillId="14" borderId="2" xfId="0" applyFill="1" applyBorder="1"/>
    <xf numFmtId="0" fontId="6" fillId="0" borderId="0" xfId="0" applyFont="1"/>
    <xf numFmtId="0" fontId="0" fillId="0" borderId="0" xfId="0" applyAlignment="1">
      <alignment horizontal="left"/>
    </xf>
    <xf numFmtId="10" fontId="8" fillId="0" borderId="0" xfId="1" applyNumberFormat="1" applyFont="1"/>
    <xf numFmtId="9" fontId="12" fillId="0" borderId="0" xfId="0" applyNumberFormat="1" applyFont="1" applyAlignment="1">
      <alignment horizontal="center" vertical="center"/>
    </xf>
    <xf numFmtId="0" fontId="0" fillId="0" borderId="0" xfId="0" applyAlignment="1">
      <alignment vertical="center"/>
    </xf>
    <xf numFmtId="0" fontId="10" fillId="0" borderId="0" xfId="0" applyFont="1" applyAlignment="1">
      <alignment vertical="center"/>
    </xf>
    <xf numFmtId="0" fontId="9" fillId="0" borderId="0" xfId="0" applyFont="1" applyAlignment="1">
      <alignment vertical="center"/>
    </xf>
    <xf numFmtId="9" fontId="11" fillId="0" borderId="0" xfId="0" applyNumberFormat="1" applyFont="1" applyAlignment="1">
      <alignment horizontal="center" vertical="center"/>
    </xf>
    <xf numFmtId="0" fontId="0" fillId="15" borderId="0" xfId="0" applyFill="1"/>
    <xf numFmtId="0" fontId="0" fillId="16" borderId="0" xfId="0" applyFill="1"/>
    <xf numFmtId="0" fontId="0" fillId="12" borderId="0" xfId="0" applyFill="1"/>
    <xf numFmtId="0" fontId="0" fillId="0" borderId="0" xfId="0" applyNumberFormat="1"/>
    <xf numFmtId="169" fontId="0" fillId="0" borderId="0" xfId="0" applyNumberFormat="1"/>
    <xf numFmtId="0" fontId="0" fillId="0" borderId="0" xfId="0" quotePrefix="1"/>
    <xf numFmtId="0" fontId="13" fillId="16" borderId="0" xfId="0" applyFont="1" applyFill="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0" xfId="0" applyFill="1"/>
  </cellXfs>
  <cellStyles count="3">
    <cellStyle name="Comma" xfId="2" builtinId="3"/>
    <cellStyle name="Normal" xfId="0" builtinId="0"/>
    <cellStyle name="Percent" xfId="1" builtinId="5"/>
  </cellStyles>
  <dxfs count="187">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7" formatCode="\$#,##0;\(\$#,##0\);\$#,##0"/>
    </dxf>
    <dxf>
      <numFmt numFmtId="176" formatCode="\$#,##0.0;\(\$#,##0.0\);\$#,##0.0"/>
    </dxf>
    <dxf>
      <numFmt numFmtId="166" formatCode="_(* #,##0_);_(* \(#,##0\);_(* &quot;-&quot;??_);_(@_)"/>
    </dxf>
    <dxf>
      <numFmt numFmtId="166" formatCode="_(* #,##0_);_(* \(#,##0\);_(* &quot;-&quot;??_);_(@_)"/>
    </dxf>
    <dxf>
      <numFmt numFmtId="177" formatCode="_(* #,##0.0_);_(* \(#,##0.0\);_(* &quot;-&quot;??_);_(@_)"/>
    </dxf>
    <dxf>
      <numFmt numFmtId="35" formatCode="_(* #,##0.00_);_(* \(#,##0.00\);_(* &quot;-&quot;??_);_(@_)"/>
    </dxf>
    <dxf>
      <numFmt numFmtId="167" formatCode="\$#,##0;\(\$#,##0\);\$#,##0"/>
    </dxf>
    <dxf>
      <numFmt numFmtId="176" formatCode="\$#,##0.0;\(\$#,##0.0\);\$#,##0.0"/>
    </dxf>
    <dxf>
      <numFmt numFmtId="166" formatCode="_(* #,##0_);_(* \(#,##0\);_(* &quot;-&quot;??_);_(@_)"/>
    </dxf>
    <dxf>
      <numFmt numFmtId="177" formatCode="_(* #,##0.0_);_(* \(#,##0.0\);_(* &quot;-&quot;??_);_(@_)"/>
    </dxf>
    <dxf>
      <numFmt numFmtId="35" formatCode="_(* #,##0.00_);_(* \(#,##0.00\);_(* &quot;-&quot;??_);_(@_)"/>
    </dxf>
    <dxf>
      <numFmt numFmtId="13" formatCode="0%"/>
    </dxf>
    <dxf>
      <numFmt numFmtId="170" formatCode="[&gt;=1000000]&quot;$&quot;0.00,,&quot;M&quot;;[&gt;1000]&quot;$&quot;0.00,&quot;K&quot;;0.0"/>
    </dxf>
    <dxf>
      <numFmt numFmtId="170" formatCode="[&gt;=1000000]&quot;$&quot;0.00,,&quot;M&quot;;[&gt;1000]&quot;$&quot;0.00,&quot;K&quot;;0.0"/>
    </dxf>
    <dxf>
      <numFmt numFmtId="178" formatCode="[&gt;=1000000]&quot;$&quot;0.000,,&quot;M&quot;;[&gt;1000]&quot;$&quot;0.000,&quot;K&quot;;0.00"/>
    </dxf>
    <dxf>
      <numFmt numFmtId="170" formatCode="[&gt;=1000000]&quot;$&quot;0.00,,&quot;M&quot;;[&gt;1000]&quot;$&quot;0.00,&quot;K&quot;;0.0"/>
    </dxf>
    <dxf>
      <numFmt numFmtId="168" formatCode="[&gt;=1000000]&quot;$&quot;0.0,,&quot;M&quot;;[&gt;1000]&quot;$&quot;0.0,&quot;K&quot;;0"/>
    </dxf>
    <dxf>
      <numFmt numFmtId="168" formatCode="[&gt;=1000000]&quot;$&quot;0.0,,&quot;M&quot;;[&gt;1000]&quot;$&quot;0.0,&quot;K&quot;;0"/>
    </dxf>
    <dxf>
      <numFmt numFmtId="167" formatCode="\$#,##0;\(\$#,##0\);\$#,##0"/>
    </dxf>
    <dxf>
      <numFmt numFmtId="176" formatCode="\$#,##0.0;\(\$#,##0.0\);\$#,##0.0"/>
    </dxf>
    <dxf>
      <numFmt numFmtId="167" formatCode="\$#,##0;\(\$#,##0\);\$#,##0"/>
    </dxf>
    <dxf>
      <numFmt numFmtId="176" formatCode="\$#,##0.0;\(\$#,##0.0\);\$#,##0.0"/>
    </dxf>
    <dxf>
      <font>
        <color theme="9" tint="-0.24994659260841701"/>
      </font>
    </dxf>
    <dxf>
      <font>
        <color rgb="FFFF0000"/>
      </font>
    </dxf>
    <dxf>
      <font>
        <color rgb="FFFF0000"/>
      </font>
      <fill>
        <patternFill>
          <bgColor theme="0"/>
        </patternFill>
      </fill>
    </dxf>
    <dxf>
      <font>
        <color theme="9" tint="0.39994506668294322"/>
      </font>
      <fill>
        <patternFill>
          <bgColor theme="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4" tint="-0.24994659260841701"/>
      </font>
      <fill>
        <patternFill>
          <bgColor theme="4" tint="-0.24994659260841701"/>
        </patternFill>
      </fill>
    </dxf>
    <dxf>
      <font>
        <color theme="4" tint="-0.24994659260841701"/>
      </font>
      <fill>
        <patternFill>
          <bgColor rgb="FF3399FD"/>
        </patternFill>
      </fill>
    </dxf>
    <dxf>
      <numFmt numFmtId="173" formatCode="[&gt;=1000000]&quot;$&quot;0.00,,&quot;M&quot;;[&gt;1000]&quot;$&quot;0.00,&quot;K&quot;;0.00"/>
    </dxf>
    <dxf>
      <numFmt numFmtId="172" formatCode="[&gt;=1000000]&quot;$&quot;0.0,,&quot;M&quot;;[&gt;1000]&quot;$&quot;0.0,&quot;K&quot;;0.0"/>
    </dxf>
    <dxf>
      <numFmt numFmtId="171" formatCode="[&gt;=1000000]&quot;$&quot;0,,&quot;M&quot;;[&gt;1000]&quot;$&quot;0,&quot;K&quot;;0"/>
    </dxf>
    <dxf>
      <numFmt numFmtId="173" formatCode="[&gt;=1000000]&quot;$&quot;0.00,,&quot;M&quot;;[&gt;1000]&quot;$&quot;0.00,&quot;K&quot;;0.00"/>
    </dxf>
    <dxf>
      <numFmt numFmtId="172" formatCode="[&gt;=1000000]&quot;$&quot;0.0,,&quot;M&quot;;[&gt;1000]&quot;$&quot;0.0,&quot;K&quot;;0.0"/>
    </dxf>
    <dxf>
      <numFmt numFmtId="171" formatCode="[&gt;=1000000]&quot;$&quot;0,,&quot;M&quot;;[&gt;1000]&quot;$&quot;0,&quot;K&quot;;0"/>
    </dxf>
    <dxf>
      <numFmt numFmtId="168" formatCode="[&gt;=1000000]&quot;$&quot;0.0,,&quot;M&quot;;[&gt;1000]&quot;$&quot;0.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0"/>
    </dxf>
    <dxf>
      <numFmt numFmtId="176" formatCode="\$#,##0.0;\(\$#,##0.0\);\$#,##0.0"/>
    </dxf>
    <dxf>
      <alignment horizontal="center" readingOrder="0"/>
    </dxf>
    <dxf>
      <font>
        <b/>
      </font>
    </dxf>
    <dxf>
      <font>
        <b val="0"/>
      </font>
    </dxf>
    <dxf>
      <font>
        <b/>
      </font>
    </dxf>
    <dxf>
      <fill>
        <patternFill patternType="solid">
          <bgColor rgb="FF3399FD"/>
        </patternFill>
      </fill>
    </dxf>
    <dxf>
      <numFmt numFmtId="172" formatCode="[&gt;=1000000]&quot;$&quot;0.0,,&quot;M&quot;;[&gt;1000]&quot;$&quot;0.0,&quot;K&quot;;0.0"/>
    </dxf>
    <dxf>
      <numFmt numFmtId="171" formatCode="[&gt;=1000000]&quot;$&quot;0,,&quot;M&quot;;[&gt;1000]&quot;$&quot;0,&quot;K&quot;;0"/>
    </dxf>
    <dxf>
      <numFmt numFmtId="173" formatCode="[&gt;=1000000]&quot;$&quot;0.00,,&quot;M&quot;;[&gt;1000]&quot;$&quot;0.00,&quot;K&quot;;0.00"/>
    </dxf>
    <dxf>
      <numFmt numFmtId="172" formatCode="[&gt;=1000000]&quot;$&quot;0.0,,&quot;M&quot;;[&gt;1000]&quot;$&quot;0.0,&quot;K&quot;;0.0"/>
    </dxf>
    <dxf>
      <numFmt numFmtId="171" formatCode="[&gt;=1000000]&quot;$&quot;0,,&quot;M&quot;;[&gt;1000]&quot;$&quot;0,&quot;K&quot;;0"/>
    </dxf>
    <dxf>
      <numFmt numFmtId="168" formatCode="[&gt;=1000000]&quot;$&quot;0.0,,&quot;M&quot;;[&gt;1000]&quot;$&quot;0.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0"/>
    </dxf>
    <dxf>
      <numFmt numFmtId="176" formatCode="\$#,##0.0;\(\$#,##0.0\);\$#,##0.0"/>
    </dxf>
    <dxf>
      <numFmt numFmtId="169" formatCode="\+0.0%;\-0.0%"/>
    </dxf>
    <dxf>
      <numFmt numFmtId="14" formatCode="0.00%"/>
    </dxf>
    <dxf>
      <numFmt numFmtId="172" formatCode="[&gt;=1000000]&quot;$&quot;0.0,,&quot;M&quot;;[&gt;1000]&quot;$&quot;0.0,&quot;K&quot;;0.0"/>
    </dxf>
    <dxf>
      <numFmt numFmtId="171" formatCode="[&gt;=1000000]&quot;$&quot;0,,&quot;M&quot;;[&gt;1000]&quot;$&quot;0,&quot;K&quot;;0"/>
    </dxf>
    <dxf>
      <numFmt numFmtId="173" formatCode="[&gt;=1000000]&quot;$&quot;0.00,,&quot;M&quot;;[&gt;1000]&quot;$&quot;0.00,&quot;K&quot;;0.00"/>
    </dxf>
    <dxf>
      <numFmt numFmtId="172" formatCode="[&gt;=1000000]&quot;$&quot;0.0,,&quot;M&quot;;[&gt;1000]&quot;$&quot;0.0,&quot;K&quot;;0.0"/>
    </dxf>
    <dxf>
      <numFmt numFmtId="171" formatCode="[&gt;=1000000]&quot;$&quot;0,,&quot;M&quot;;[&gt;1000]&quot;$&quot;0,&quot;K&quot;;0"/>
    </dxf>
    <dxf>
      <numFmt numFmtId="168" formatCode="[&gt;=1000000]&quot;$&quot;0.0,,&quot;M&quot;;[&gt;1000]&quot;$&quot;0.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0"/>
    </dxf>
    <dxf>
      <numFmt numFmtId="176" formatCode="\$#,##0.0;\(\$#,##0.0\);\$#,##0.0"/>
    </dxf>
    <dxf>
      <numFmt numFmtId="14" formatCode="0.00%"/>
    </dxf>
    <dxf>
      <numFmt numFmtId="172" formatCode="[&gt;=1000000]&quot;$&quot;0.0,,&quot;M&quot;;[&gt;1000]&quot;$&quot;0.0,&quot;K&quot;;0.0"/>
    </dxf>
    <dxf>
      <numFmt numFmtId="171" formatCode="[&gt;=1000000]&quot;$&quot;0,,&quot;M&quot;;[&gt;1000]&quot;$&quot;0,&quot;K&quot;;0"/>
    </dxf>
    <dxf>
      <numFmt numFmtId="173" formatCode="[&gt;=1000000]&quot;$&quot;0.00,,&quot;M&quot;;[&gt;1000]&quot;$&quot;0.00,&quot;K&quot;;0.00"/>
    </dxf>
    <dxf>
      <numFmt numFmtId="172" formatCode="[&gt;=1000000]&quot;$&quot;0.0,,&quot;M&quot;;[&gt;1000]&quot;$&quot;0.0,&quot;K&quot;;0.0"/>
    </dxf>
    <dxf>
      <numFmt numFmtId="171" formatCode="[&gt;=1000000]&quot;$&quot;0,,&quot;M&quot;;[&gt;1000]&quot;$&quot;0,&quot;K&quot;;0"/>
    </dxf>
    <dxf>
      <numFmt numFmtId="168" formatCode="[&gt;=1000000]&quot;$&quot;0.0,,&quot;M&quot;;[&gt;1000]&quot;$&quot;0.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0"/>
    </dxf>
    <dxf>
      <numFmt numFmtId="176" formatCode="\$#,##0.0;\(\$#,##0.0\);\$#,##0.0"/>
    </dxf>
    <dxf>
      <numFmt numFmtId="175" formatCode="0.0%"/>
    </dxf>
    <dxf>
      <numFmt numFmtId="13" formatCode="0%"/>
    </dxf>
    <dxf>
      <numFmt numFmtId="169" formatCode="\+0.0%;\-0.0%"/>
    </dxf>
    <dxf>
      <numFmt numFmtId="14" formatCode="0.00%"/>
    </dxf>
    <dxf>
      <numFmt numFmtId="172" formatCode="[&gt;=1000000]&quot;$&quot;0.0,,&quot;M&quot;;[&gt;1000]&quot;$&quot;0.0,&quot;K&quot;;0.0"/>
    </dxf>
    <dxf>
      <numFmt numFmtId="171" formatCode="[&gt;=1000000]&quot;$&quot;0,,&quot;M&quot;;[&gt;1000]&quot;$&quot;0,&quot;K&quot;;0"/>
    </dxf>
    <dxf>
      <numFmt numFmtId="173" formatCode="[&gt;=1000000]&quot;$&quot;0.00,,&quot;M&quot;;[&gt;1000]&quot;$&quot;0.00,&quot;K&quot;;0.00"/>
    </dxf>
    <dxf>
      <numFmt numFmtId="172" formatCode="[&gt;=1000000]&quot;$&quot;0.0,,&quot;M&quot;;[&gt;1000]&quot;$&quot;0.0,&quot;K&quot;;0.0"/>
    </dxf>
    <dxf>
      <numFmt numFmtId="171" formatCode="[&gt;=1000000]&quot;$&quot;0,,&quot;M&quot;;[&gt;1000]&quot;$&quot;0,&quot;K&quot;;0"/>
    </dxf>
    <dxf>
      <numFmt numFmtId="168" formatCode="[&gt;=1000000]&quot;$&quot;0.0,,&quot;M&quot;;[&gt;1000]&quot;$&quot;0.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0"/>
    </dxf>
    <dxf>
      <numFmt numFmtId="176" formatCode="\$#,##0.0;\(\$#,##0.0\);\$#,##0.0"/>
    </dxf>
    <dxf>
      <numFmt numFmtId="169" formatCode="\+0.0%;\-0.0%"/>
    </dxf>
    <dxf>
      <numFmt numFmtId="14" formatCode="0.00%"/>
    </dxf>
    <dxf>
      <numFmt numFmtId="172" formatCode="[&gt;=1000000]&quot;$&quot;0.0,,&quot;M&quot;;[&gt;1000]&quot;$&quot;0.0,&quot;K&quot;;0.0"/>
    </dxf>
    <dxf>
      <numFmt numFmtId="171" formatCode="[&gt;=1000000]&quot;$&quot;0,,&quot;M&quot;;[&gt;1000]&quot;$&quot;0,&quot;K&quot;;0"/>
    </dxf>
    <dxf>
      <numFmt numFmtId="173" formatCode="[&gt;=1000000]&quot;$&quot;0.00,,&quot;M&quot;;[&gt;1000]&quot;$&quot;0.00,&quot;K&quot;;0.00"/>
    </dxf>
    <dxf>
      <numFmt numFmtId="172" formatCode="[&gt;=1000000]&quot;$&quot;0.0,,&quot;M&quot;;[&gt;1000]&quot;$&quot;0.0,&quot;K&quot;;0.0"/>
    </dxf>
    <dxf>
      <numFmt numFmtId="171" formatCode="[&gt;=1000000]&quot;$&quot;0,,&quot;M&quot;;[&gt;1000]&quot;$&quot;0,&quot;K&quot;;0"/>
    </dxf>
    <dxf>
      <numFmt numFmtId="168" formatCode="[&gt;=1000000]&quot;$&quot;0.0,,&quot;M&quot;;[&gt;1000]&quot;$&quot;0.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0"/>
    </dxf>
    <dxf>
      <numFmt numFmtId="176" formatCode="\$#,##0.0;\(\$#,##0.0\);\$#,##0.0"/>
    </dxf>
    <dxf>
      <numFmt numFmtId="171" formatCode="[&gt;=1000000]&quot;$&quot;0,,&quot;M&quot;;[&gt;1000]&quot;$&quot;0,&quot;K&quot;;0"/>
    </dxf>
    <dxf>
      <numFmt numFmtId="168" formatCode="[&gt;=1000000]&quot;$&quot;0.0,,&quot;M&quot;;[&gt;1000]&quot;$&quot;0.0,&quot;K&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0"/>
    </dxf>
    <dxf>
      <numFmt numFmtId="176" formatCode="\$#,##0.0;\(\$#,##0.0\);\$#,##0.0"/>
    </dxf>
    <dxf>
      <numFmt numFmtId="14" formatCode="0.00%"/>
    </dxf>
    <dxf>
      <numFmt numFmtId="167" formatCode="\$#,##0;\(\$#,##0\);\$#,##0"/>
    </dxf>
    <dxf>
      <numFmt numFmtId="0" formatCode="General"/>
    </dxf>
    <dxf>
      <numFmt numFmtId="14" formatCode="0.00%"/>
    </dxf>
    <dxf>
      <numFmt numFmtId="175" formatCode="0.0%"/>
    </dxf>
    <dxf>
      <numFmt numFmtId="13" formatCode="0%"/>
    </dxf>
    <dxf>
      <numFmt numFmtId="167" formatCode="\$#,##0;\(\$#,##0\);\$#,##0"/>
    </dxf>
    <dxf>
      <numFmt numFmtId="176" formatCode="\$#,##0.0;\(\$#,##0.0\);\$#,##0.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8" formatCode="[&gt;=1000000]&quot;$&quot;0.0,,&quot;M&quot;;[&gt;1000]&quot;$&quot;0.0,&quot;K&quot;;0"/>
    </dxf>
    <dxf>
      <numFmt numFmtId="167" formatCode="\$#,##0;\(\$#,##0\);\$#,##0"/>
    </dxf>
    <dxf>
      <numFmt numFmtId="176" formatCode="\$#,##0.0;\(\$#,##0.0\);\$#,##0.0"/>
    </dxf>
    <dxf>
      <numFmt numFmtId="168" formatCode="[&gt;=1000000]&quot;$&quot;0.0,,&quot;M&quot;;[&gt;1000]&quot;$&quot;0.0,&quot;K&quot;;0"/>
    </dxf>
    <dxf>
      <numFmt numFmtId="168" formatCode="[&gt;=1000000]&quot;$&quot;0.0,,&quot;M&quot;;[&gt;1000]&quot;$&quot;0.0,&quot;K&quot;;0"/>
    </dxf>
    <dxf>
      <numFmt numFmtId="0" formatCode="General"/>
    </dxf>
    <dxf>
      <numFmt numFmtId="14" formatCode="0.00%"/>
    </dxf>
    <dxf>
      <numFmt numFmtId="167" formatCode="\$#,##0;\(\$#,##0\);\$#,##0"/>
    </dxf>
    <dxf>
      <numFmt numFmtId="0" formatCode="General"/>
    </dxf>
    <dxf>
      <numFmt numFmtId="14" formatCode="0.00%"/>
    </dxf>
    <dxf>
      <numFmt numFmtId="175" formatCode="0.0%"/>
    </dxf>
    <dxf>
      <numFmt numFmtId="13" formatCode="0%"/>
    </dxf>
    <dxf>
      <numFmt numFmtId="167" formatCode="\$#,##0;\(\$#,##0\);\$#,##0"/>
    </dxf>
    <dxf>
      <numFmt numFmtId="176" formatCode="\$#,##0.0;\(\$#,##0.0\);\$#,##0.0"/>
    </dxf>
    <dxf>
      <numFmt numFmtId="169" formatCode="\+0.0%;\-0.0%"/>
    </dxf>
    <dxf>
      <numFmt numFmtId="14" formatCode="0.00%"/>
    </dxf>
    <dxf>
      <numFmt numFmtId="0" formatCode="General"/>
    </dxf>
    <dxf>
      <numFmt numFmtId="13" formatCode="0%"/>
    </dxf>
    <dxf>
      <numFmt numFmtId="13" formatCode="0%"/>
    </dxf>
    <dxf>
      <numFmt numFmtId="0" formatCode="General"/>
    </dxf>
    <dxf>
      <numFmt numFmtId="168" formatCode="[&gt;=1000000]&quot;$&quot;0.0,,&quot;M&quot;;[&gt;1000]&quot;$&quot;0.0,&quot;K&quot;;0"/>
    </dxf>
    <dxf>
      <numFmt numFmtId="0" formatCode="General"/>
    </dxf>
    <dxf>
      <numFmt numFmtId="14" formatCode="0.00%"/>
    </dxf>
    <dxf>
      <numFmt numFmtId="167" formatCode="\$#,##0;\(\$#,##0\);\$#,##0"/>
    </dxf>
    <dxf>
      <numFmt numFmtId="0" formatCode="General"/>
    </dxf>
    <dxf>
      <numFmt numFmtId="14" formatCode="0.00%"/>
    </dxf>
    <dxf>
      <numFmt numFmtId="175" formatCode="0.0%"/>
    </dxf>
    <dxf>
      <numFmt numFmtId="13" formatCode="0%"/>
    </dxf>
    <dxf>
      <numFmt numFmtId="167" formatCode="\$#,##0;\(\$#,##0\);\$#,##0"/>
    </dxf>
    <dxf>
      <numFmt numFmtId="176" formatCode="\$#,##0.0;\(\$#,##0.0\);\$#,##0.0"/>
    </dxf>
    <dxf>
      <numFmt numFmtId="168" formatCode="[&gt;=1000000]&quot;$&quot;0.0,,&quot;M&quot;;[&gt;1000]&quot;$&quot;0.0,&quot;K&quot;;0"/>
    </dxf>
    <dxf>
      <numFmt numFmtId="0" formatCode="General"/>
    </dxf>
    <dxf>
      <numFmt numFmtId="14" formatCode="0.00%"/>
    </dxf>
    <dxf>
      <numFmt numFmtId="167" formatCode="\$#,##0;\(\$#,##0\);\$#,##0"/>
    </dxf>
    <dxf>
      <numFmt numFmtId="0" formatCode="General"/>
    </dxf>
    <dxf>
      <numFmt numFmtId="14" formatCode="0.00%"/>
    </dxf>
    <dxf>
      <numFmt numFmtId="175" formatCode="0.0%"/>
    </dxf>
    <dxf>
      <numFmt numFmtId="13" formatCode="0%"/>
    </dxf>
    <dxf>
      <numFmt numFmtId="167" formatCode="\$#,##0;\(\$#,##0\);\$#,##0"/>
    </dxf>
    <dxf>
      <numFmt numFmtId="176" formatCode="\$#,##0.0;\(\$#,##0.0\);\$#,##0.0"/>
    </dxf>
    <dxf>
      <font>
        <color rgb="FF0070C0"/>
      </font>
    </dxf>
    <dxf>
      <font>
        <color rgb="FF9FE6FF"/>
      </font>
    </dxf>
    <dxf>
      <font>
        <color rgb="FF0070C0"/>
      </font>
    </dxf>
    <dxf>
      <font>
        <color rgb="FF9FE6FF"/>
      </font>
    </dxf>
    <dxf>
      <font>
        <b val="0"/>
        <i/>
        <sz val="12"/>
        <color theme="0" tint="-0.499984740745262"/>
      </font>
      <fill>
        <patternFill>
          <bgColor rgb="FF282B50"/>
        </patternFill>
      </fill>
      <border diagonalUp="0" diagonalDown="0">
        <left/>
        <right/>
        <top/>
        <bottom/>
        <vertical/>
        <horizontal/>
      </border>
    </dxf>
    <dxf>
      <font>
        <sz val="14"/>
        <color theme="0" tint="-0.34998626667073579"/>
      </font>
      <fill>
        <patternFill>
          <bgColor rgb="FF282B50"/>
        </patternFill>
      </fill>
      <border diagonalUp="0" diagonalDown="0">
        <left/>
        <right/>
        <top/>
        <bottom/>
        <vertical/>
        <horizontal/>
      </border>
    </dxf>
    <dxf>
      <font>
        <b val="0"/>
        <i/>
        <color theme="1"/>
      </font>
      <fill>
        <patternFill>
          <bgColor theme="0"/>
        </patternFill>
      </fill>
      <border diagonalUp="0" diagonalDown="0">
        <left/>
        <right/>
        <top/>
        <bottom/>
        <vertical/>
        <horizontal/>
      </border>
    </dxf>
    <dxf>
      <font>
        <color theme="1"/>
      </font>
      <fill>
        <patternFill>
          <bgColor theme="0"/>
        </patternFill>
      </fill>
      <border diagonalUp="0" diagonalDown="0">
        <left/>
        <right/>
        <top/>
        <bottom/>
        <vertical/>
        <horizontal/>
      </border>
    </dxf>
    <dxf>
      <font>
        <b val="0"/>
        <i/>
        <sz val="12"/>
        <color theme="1" tint="0.34998626667073579"/>
      </font>
      <fill>
        <patternFill>
          <bgColor theme="0"/>
        </patternFill>
      </fill>
      <border>
        <bottom style="medium">
          <color auto="1"/>
        </bottom>
      </border>
    </dxf>
    <dxf>
      <font>
        <color theme="0" tint="-0.24994659260841701"/>
      </font>
      <fill>
        <patternFill>
          <bgColor theme="0"/>
        </patternFill>
      </fill>
      <border diagonalUp="0" diagonalDown="0">
        <left/>
        <right/>
        <top/>
        <bottom/>
        <vertical/>
        <horizontal/>
      </border>
    </dxf>
    <dxf>
      <font>
        <b val="0"/>
        <i/>
        <sz val="12"/>
        <color theme="1" tint="0.34998626667073579"/>
      </font>
      <fill>
        <patternFill>
          <bgColor theme="0"/>
        </patternFill>
      </fill>
      <border diagonalUp="0" diagonalDown="0">
        <left/>
        <right/>
        <top/>
        <bottom/>
        <vertical/>
        <horizontal/>
      </border>
    </dxf>
    <dxf>
      <font>
        <color theme="0" tint="-0.24994659260841701"/>
      </font>
      <fill>
        <patternFill>
          <bgColor theme="0"/>
        </patternFill>
      </fill>
      <border diagonalUp="0" diagonalDown="0">
        <left/>
        <right/>
        <top/>
        <bottom/>
        <vertical/>
        <horizontal/>
      </border>
    </dxf>
    <dxf>
      <font>
        <color theme="0" tint="-0.14996795556505021"/>
      </font>
    </dxf>
  </dxfs>
  <tableStyles count="5" defaultTableStyle="TableStyleMedium2" defaultPivotStyle="PivotStyleLight16">
    <tableStyle name="Slicer Style 1" pivot="0" table="0" count="1">
      <tableStyleElement type="wholeTable" dxfId="186"/>
    </tableStyle>
    <tableStyle name="Slicer Style 2" pivot="0" table="0" count="8">
      <tableStyleElement type="wholeTable" dxfId="185"/>
      <tableStyleElement type="headerRow" dxfId="184"/>
    </tableStyle>
    <tableStyle name="Slicer Style 2 2" pivot="0" table="0" count="7">
      <tableStyleElement type="wholeTable" dxfId="183"/>
      <tableStyleElement type="headerRow" dxfId="182"/>
    </tableStyle>
    <tableStyle name="SlicerStyleLight1 2" pivot="0" table="0" count="10">
      <tableStyleElement type="wholeTable" dxfId="181"/>
      <tableStyleElement type="headerRow" dxfId="180"/>
    </tableStyle>
    <tableStyle name="SlicerStyleLight1 3" pivot="0" table="0" count="10">
      <tableStyleElement type="wholeTable" dxfId="179"/>
      <tableStyleElement type="headerRow" dxfId="178"/>
    </tableStyle>
  </tableStyles>
  <colors>
    <mruColors>
      <color rgb="FF005392"/>
      <color rgb="FF282B50"/>
      <color rgb="FF333F50"/>
      <color rgb="FF9FE6FF"/>
      <color rgb="FF1F8CB3"/>
      <color rgb="FF3399FF"/>
      <color rgb="FF2E7EB6"/>
      <color rgb="FF2D7EBE"/>
      <color rgb="FF2D7EB6"/>
      <color rgb="FF2E87B6"/>
    </mruColors>
  </colors>
  <extLst>
    <ext xmlns:x14="http://schemas.microsoft.com/office/spreadsheetml/2009/9/main" uri="{46F421CA-312F-682f-3DD2-61675219B42D}">
      <x14:dxfs count="27">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2"/>
            <color theme="0"/>
          </font>
          <fill>
            <patternFill patternType="solid">
              <fgColor theme="4" tint="0.59999389629810485"/>
              <bgColor rgb="FF282B50"/>
            </patternFill>
          </fill>
          <border diagonalUp="0" diagonalDown="0">
            <left/>
            <right/>
            <top/>
            <bottom style="medium">
              <color theme="0" tint="-0.3499862666707357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color theme="0" tint="-0.24994659260841701"/>
          </font>
          <fill>
            <patternFill patternType="solid">
              <fgColor rgb="FFFFFFFF"/>
              <bgColor rgb="FF282B5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sz val="12"/>
            <color theme="0" tint="-0.34998626667073579"/>
          </font>
          <fill>
            <patternFill patternType="solid">
              <fgColor theme="4" tint="0.79992065187536243"/>
              <bgColor theme="0"/>
            </patternFill>
          </fill>
          <border diagonalUp="0" diagonalDown="0">
            <left/>
            <right/>
            <top/>
            <bottom style="thin">
              <color theme="0" tint="-0.14993743705557422"/>
            </bottom>
            <vertical/>
            <horizontal/>
          </border>
        </dxf>
        <dxf>
          <font>
            <sz val="12"/>
            <color theme="1" tint="0.34998626667073579"/>
          </font>
          <fill>
            <patternFill patternType="solid">
              <fgColor theme="4" tint="0.59999389629810485"/>
              <bgColor theme="0"/>
            </patternFill>
          </fill>
          <border diagonalUp="0" diagonalDown="0">
            <left/>
            <right/>
            <top/>
            <bottom style="medium">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theme="0" tint="-0.34998626667073579"/>
          </font>
        </dxf>
        <dxf>
          <font>
            <color theme="0" tint="-0.24994659260841701"/>
          </font>
        </dxf>
        <dxf>
          <font>
            <color theme="0" tint="-0.499984740745262"/>
          </font>
        </dxf>
        <dxf>
          <font>
            <b val="0"/>
            <i/>
            <sz val="12"/>
            <color theme="1" tint="0.34998626667073579"/>
          </font>
          <fill>
            <patternFill>
              <bgColor theme="0"/>
            </patternFill>
          </fill>
          <border>
            <bottom style="medium">
              <color auto="1"/>
            </bottom>
          </border>
        </dxf>
        <dxf>
          <font>
            <b val="0"/>
            <i/>
            <sz val="12"/>
            <color theme="0" tint="-0.24994659260841701"/>
          </font>
          <border diagonalUp="0" diagonalDown="0">
            <left/>
            <right/>
            <top/>
            <bottom style="medium">
              <color theme="0" tint="-0.14996795556505021"/>
            </bottom>
            <vertical/>
            <horizontal/>
          </border>
        </dxf>
        <dxf>
          <font>
            <color theme="0" tint="-0.34998626667073579"/>
          </font>
        </dxf>
        <dxf>
          <font>
            <color theme="0" tint="-0.24994659260841701"/>
          </font>
        </dxf>
        <dxf>
          <font>
            <color theme="0" tint="-0.499984740745262"/>
          </font>
        </dxf>
        <dxf>
          <font>
            <b val="0"/>
            <i/>
            <sz val="12"/>
            <color theme="1" tint="0.34998626667073579"/>
          </font>
          <fill>
            <patternFill>
              <bgColor theme="0"/>
            </patternFill>
          </fill>
          <border diagonalUp="0" diagonalDown="0">
            <left/>
            <right/>
            <top/>
            <bottom/>
            <vertical/>
            <horizontal/>
          </border>
        </dxf>
        <dxf>
          <font>
            <b/>
            <i val="0"/>
            <sz val="14"/>
            <color theme="1" tint="0.34998626667073579"/>
          </font>
          <fill>
            <patternFill>
              <bgColor theme="0"/>
            </patternFill>
          </fill>
          <border diagonalUp="0" diagonalDown="0">
            <left/>
            <right/>
            <top/>
            <bottom style="medium">
              <color theme="0" tint="-0.24994659260841701"/>
            </bottom>
            <vertical/>
            <horizontal/>
          </border>
        </dxf>
        <dxf>
          <border diagonalUp="0" diagonalDown="0">
            <left style="medium">
              <color theme="0"/>
            </left>
            <right style="medium">
              <color theme="0"/>
            </right>
            <top style="medium">
              <color theme="0"/>
            </top>
            <bottom style="medium">
              <color theme="0"/>
            </bottom>
            <vertical/>
            <horizontal/>
          </border>
        </dxf>
      </x14:dxfs>
    </ext>
    <ext xmlns:x14="http://schemas.microsoft.com/office/spreadsheetml/2009/9/main" uri="{EB79DEF2-80B8-43e5-95BD-54CBDDF9020C}">
      <x14:slicerStyles defaultSlicerStyle="SlicerStyleLight1 3">
        <x14:slicerStyle name="Slicer Style 1"/>
        <x14:slicerStyle name="Slicer Style 2">
          <x14:slicerStyleElements>
            <x14:slicerStyleElement type="unselectedItemWithData" dxfId="26"/>
            <x14:slicerStyleElement type="selectedItemWithData" dxfId="25"/>
            <x14:slicerStyleElement type="selectedItemWithNoData" dxfId="24"/>
            <x14:slicerStyleElement type="hoveredUnselectedItemWithData" dxfId="23"/>
            <x14:slicerStyleElement type="hoveredSelectedItemWithData" dxfId="22"/>
            <x14:slicerStyleElement type="hoveredSelectedItemWithNoData" dxfId="21"/>
          </x14:slicerStyleElements>
        </x14:slicerStyle>
        <x14:slicerStyle name="Slicer Style 2 2">
          <x14:slicerStyleElements>
            <x14:slicerStyleElement type="selectedItemWithData" dxfId="20"/>
            <x14:slicerStyleElement type="selectedItemWithNoData" dxfId="19"/>
            <x14:slicerStyleElement type="hoveredUnselectedItemWithData" dxfId="18"/>
            <x14:slicerStyleElement type="hoveredSelectedItemWith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7.xml"/><Relationship Id="rId21" Type="http://schemas.openxmlformats.org/officeDocument/2006/relationships/pivotCacheDefinition" Target="pivotCache/pivotCacheDefinition12.xml"/><Relationship Id="rId42" Type="http://schemas.openxmlformats.org/officeDocument/2006/relationships/styles" Target="styles.xml"/><Relationship Id="rId47" Type="http://schemas.openxmlformats.org/officeDocument/2006/relationships/customXml" Target="../customXml/item2.xml"/><Relationship Id="rId63" Type="http://schemas.openxmlformats.org/officeDocument/2006/relationships/customXml" Target="../customXml/item18.xml"/><Relationship Id="rId68" Type="http://schemas.openxmlformats.org/officeDocument/2006/relationships/customXml" Target="../customXml/item23.xml"/><Relationship Id="rId84" Type="http://schemas.openxmlformats.org/officeDocument/2006/relationships/customXml" Target="../customXml/item39.xml"/><Relationship Id="rId16" Type="http://schemas.openxmlformats.org/officeDocument/2006/relationships/pivotCacheDefinition" Target="pivotCache/pivotCacheDefinition7.xml"/><Relationship Id="rId11" Type="http://schemas.openxmlformats.org/officeDocument/2006/relationships/pivotCacheDefinition" Target="pivotCache/pivotCacheDefinition2.xml"/><Relationship Id="rId32" Type="http://schemas.openxmlformats.org/officeDocument/2006/relationships/pivotCacheDefinition" Target="pivotCache/pivotCacheDefinition23.xml"/><Relationship Id="rId37" Type="http://schemas.openxmlformats.org/officeDocument/2006/relationships/pivotCacheDefinition" Target="pivotCache/pivotCacheDefinition28.xml"/><Relationship Id="rId53" Type="http://schemas.openxmlformats.org/officeDocument/2006/relationships/customXml" Target="../customXml/item8.xml"/><Relationship Id="rId58" Type="http://schemas.openxmlformats.org/officeDocument/2006/relationships/customXml" Target="../customXml/item13.xml"/><Relationship Id="rId74" Type="http://schemas.openxmlformats.org/officeDocument/2006/relationships/customXml" Target="../customXml/item29.xml"/><Relationship Id="rId79" Type="http://schemas.openxmlformats.org/officeDocument/2006/relationships/customXml" Target="../customXml/item34.xml"/><Relationship Id="rId5" Type="http://schemas.openxmlformats.org/officeDocument/2006/relationships/worksheet" Target="worksheets/sheet5.xml"/><Relationship Id="rId19" Type="http://schemas.openxmlformats.org/officeDocument/2006/relationships/pivotCacheDefinition" Target="pivotCache/pivotCacheDefinition10.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pivotCacheDefinition" Target="pivotCache/pivotCacheDefinition18.xml"/><Relationship Id="rId30" Type="http://schemas.openxmlformats.org/officeDocument/2006/relationships/pivotCacheDefinition" Target="pivotCache/pivotCacheDefinition21.xml"/><Relationship Id="rId35" Type="http://schemas.openxmlformats.org/officeDocument/2006/relationships/pivotCacheDefinition" Target="pivotCache/pivotCacheDefinition26.xml"/><Relationship Id="rId43" Type="http://schemas.openxmlformats.org/officeDocument/2006/relationships/sharedStrings" Target="sharedStrings.xml"/><Relationship Id="rId48" Type="http://schemas.openxmlformats.org/officeDocument/2006/relationships/customXml" Target="../customXml/item3.xml"/><Relationship Id="rId56" Type="http://schemas.openxmlformats.org/officeDocument/2006/relationships/customXml" Target="../customXml/item11.xml"/><Relationship Id="rId64" Type="http://schemas.openxmlformats.org/officeDocument/2006/relationships/customXml" Target="../customXml/item19.xml"/><Relationship Id="rId69" Type="http://schemas.openxmlformats.org/officeDocument/2006/relationships/customXml" Target="../customXml/item24.xml"/><Relationship Id="rId77" Type="http://schemas.openxmlformats.org/officeDocument/2006/relationships/customXml" Target="../customXml/item32.xml"/><Relationship Id="rId8" Type="http://schemas.openxmlformats.org/officeDocument/2006/relationships/worksheet" Target="worksheets/sheet8.xml"/><Relationship Id="rId51" Type="http://schemas.openxmlformats.org/officeDocument/2006/relationships/customXml" Target="../customXml/item6.xml"/><Relationship Id="rId72" Type="http://schemas.openxmlformats.org/officeDocument/2006/relationships/customXml" Target="../customXml/item27.xml"/><Relationship Id="rId80" Type="http://schemas.openxmlformats.org/officeDocument/2006/relationships/customXml" Target="../customXml/item35.xml"/><Relationship Id="rId85" Type="http://schemas.openxmlformats.org/officeDocument/2006/relationships/customXml" Target="../customXml/item40.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openxmlformats.org/officeDocument/2006/relationships/pivotCacheDefinition" Target="pivotCache/pivotCacheDefinition24.xml"/><Relationship Id="rId38" Type="http://schemas.microsoft.com/office/2007/relationships/slicerCache" Target="slicerCaches/slicerCache1.xml"/><Relationship Id="rId46" Type="http://schemas.openxmlformats.org/officeDocument/2006/relationships/customXml" Target="../customXml/item1.xml"/><Relationship Id="rId59" Type="http://schemas.openxmlformats.org/officeDocument/2006/relationships/customXml" Target="../customXml/item14.xml"/><Relationship Id="rId67" Type="http://schemas.openxmlformats.org/officeDocument/2006/relationships/customXml" Target="../customXml/item22.xml"/><Relationship Id="rId20" Type="http://schemas.openxmlformats.org/officeDocument/2006/relationships/pivotCacheDefinition" Target="pivotCache/pivotCacheDefinition11.xml"/><Relationship Id="rId41" Type="http://schemas.openxmlformats.org/officeDocument/2006/relationships/connections" Target="connections.xml"/><Relationship Id="rId54" Type="http://schemas.openxmlformats.org/officeDocument/2006/relationships/customXml" Target="../customXml/item9.xml"/><Relationship Id="rId62" Type="http://schemas.openxmlformats.org/officeDocument/2006/relationships/customXml" Target="../customXml/item17.xml"/><Relationship Id="rId70" Type="http://schemas.openxmlformats.org/officeDocument/2006/relationships/customXml" Target="../customXml/item25.xml"/><Relationship Id="rId75" Type="http://schemas.openxmlformats.org/officeDocument/2006/relationships/customXml" Target="../customXml/item30.xml"/><Relationship Id="rId83" Type="http://schemas.openxmlformats.org/officeDocument/2006/relationships/customXml" Target="../customXml/item38.xml"/><Relationship Id="rId88" Type="http://schemas.openxmlformats.org/officeDocument/2006/relationships/customXml" Target="../customXml/item4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pivotCacheDefinition" Target="pivotCache/pivotCacheDefinition19.xml"/><Relationship Id="rId36" Type="http://schemas.openxmlformats.org/officeDocument/2006/relationships/pivotCacheDefinition" Target="pivotCache/pivotCacheDefinition27.xml"/><Relationship Id="rId49" Type="http://schemas.openxmlformats.org/officeDocument/2006/relationships/customXml" Target="../customXml/item4.xml"/><Relationship Id="rId57" Type="http://schemas.openxmlformats.org/officeDocument/2006/relationships/customXml" Target="../customXml/item12.xml"/><Relationship Id="rId10" Type="http://schemas.openxmlformats.org/officeDocument/2006/relationships/pivotCacheDefinition" Target="pivotCache/pivotCacheDefinition1.xml"/><Relationship Id="rId31" Type="http://schemas.openxmlformats.org/officeDocument/2006/relationships/pivotCacheDefinition" Target="pivotCache/pivotCacheDefinition22.xml"/><Relationship Id="rId44" Type="http://schemas.openxmlformats.org/officeDocument/2006/relationships/powerPivotData" Target="model/item.data"/><Relationship Id="rId52" Type="http://schemas.openxmlformats.org/officeDocument/2006/relationships/customXml" Target="../customXml/item7.xml"/><Relationship Id="rId60" Type="http://schemas.openxmlformats.org/officeDocument/2006/relationships/customXml" Target="../customXml/item15.xml"/><Relationship Id="rId65" Type="http://schemas.openxmlformats.org/officeDocument/2006/relationships/customXml" Target="../customXml/item20.xml"/><Relationship Id="rId73" Type="http://schemas.openxmlformats.org/officeDocument/2006/relationships/customXml" Target="../customXml/item28.xml"/><Relationship Id="rId78" Type="http://schemas.openxmlformats.org/officeDocument/2006/relationships/customXml" Target="../customXml/item33.xml"/><Relationship Id="rId81" Type="http://schemas.openxmlformats.org/officeDocument/2006/relationships/customXml" Target="../customXml/item36.xml"/><Relationship Id="rId86" Type="http://schemas.openxmlformats.org/officeDocument/2006/relationships/customXml" Target="../customXml/item4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39" Type="http://schemas.microsoft.com/office/2007/relationships/slicerCache" Target="slicerCaches/slicerCache2.xml"/><Relationship Id="rId34" Type="http://schemas.openxmlformats.org/officeDocument/2006/relationships/pivotCacheDefinition" Target="pivotCache/pivotCacheDefinition25.xml"/><Relationship Id="rId50" Type="http://schemas.openxmlformats.org/officeDocument/2006/relationships/customXml" Target="../customXml/item5.xml"/><Relationship Id="rId55" Type="http://schemas.openxmlformats.org/officeDocument/2006/relationships/customXml" Target="../customXml/item10.xml"/><Relationship Id="rId76" Type="http://schemas.openxmlformats.org/officeDocument/2006/relationships/customXml" Target="../customXml/item31.xml"/><Relationship Id="rId7" Type="http://schemas.openxmlformats.org/officeDocument/2006/relationships/worksheet" Target="worksheets/sheet7.xml"/><Relationship Id="rId71" Type="http://schemas.openxmlformats.org/officeDocument/2006/relationships/customXml" Target="../customXml/item26.xml"/><Relationship Id="rId2" Type="http://schemas.openxmlformats.org/officeDocument/2006/relationships/worksheet" Target="worksheets/sheet2.xml"/><Relationship Id="rId29" Type="http://schemas.openxmlformats.org/officeDocument/2006/relationships/pivotCacheDefinition" Target="pivotCache/pivotCacheDefinition20.xml"/><Relationship Id="rId24" Type="http://schemas.openxmlformats.org/officeDocument/2006/relationships/pivotCacheDefinition" Target="pivotCache/pivotCacheDefinition15.xml"/><Relationship Id="rId40" Type="http://schemas.openxmlformats.org/officeDocument/2006/relationships/theme" Target="theme/theme1.xml"/><Relationship Id="rId45" Type="http://schemas.openxmlformats.org/officeDocument/2006/relationships/calcChain" Target="calcChain.xml"/><Relationship Id="rId66" Type="http://schemas.openxmlformats.org/officeDocument/2006/relationships/customXml" Target="../customXml/item21.xml"/><Relationship Id="rId87" Type="http://schemas.openxmlformats.org/officeDocument/2006/relationships/customXml" Target="../customXml/item42.xml"/><Relationship Id="rId61" Type="http://schemas.openxmlformats.org/officeDocument/2006/relationships/customXml" Target="../customXml/item16.xml"/><Relationship Id="rId82" Type="http://schemas.openxmlformats.org/officeDocument/2006/relationships/customXml" Target="../customXml/item3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[Dashboard.xlsx]Analysis-2!PivotTable1</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'Analysis-2'!$D$5</c:f>
              <c:strCache>
                <c:ptCount val="1"/>
                <c:pt idx="0">
                  <c:v>Total Revenue</c:v>
                </c:pt>
              </c:strCache>
            </c:strRef>
          </c:tx>
          <c:spPr>
            <a:ln w="28575" cap="rnd">
              <a:solidFill>
                <a:schemeClr val="accent1"/>
              </a:solidFill>
              <a:round/>
            </a:ln>
            <a:effectLst/>
          </c:spPr>
          <c:marker>
            <c:symbol val="none"/>
          </c:marker>
          <c:cat>
            <c:strRef>
              <c:f>'Analysis-2'!$C$6:$C$17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'Analysis-2'!$D$6:$D$17</c:f>
              <c:numCache>
                <c:formatCode>[&gt;=1000000]"$"0,,"M";[&gt;1000]"$"0,"K";0</c:formatCode>
                <c:ptCount val="12"/>
                <c:pt idx="0">
                  <c:v>444162.52000000014</c:v>
                </c:pt>
                <c:pt idx="1">
                  <c:v>423741.52</c:v>
                </c:pt>
                <c:pt idx="2">
                  <c:v>468344.26999999949</c:v>
                </c:pt>
                <c:pt idx="3">
                  <c:v>448652.76000000007</c:v>
                </c:pt>
                <c:pt idx="4">
                  <c:v>480720.64000000001</c:v>
                </c:pt>
                <c:pt idx="5">
                  <c:v>455501.13999999996</c:v>
                </c:pt>
                <c:pt idx="6">
                  <c:v>433725.86000000057</c:v>
                </c:pt>
                <c:pt idx="7">
                  <c:v>485766.24999999977</c:v>
                </c:pt>
                <c:pt idx="8">
                  <c:v>443447.43000000028</c:v>
                </c:pt>
                <c:pt idx="9">
                  <c:v>458984.37999999971</c:v>
                </c:pt>
                <c:pt idx="10">
                  <c:v>462537.40999999939</c:v>
                </c:pt>
                <c:pt idx="11">
                  <c:v>441225.2900000001</c:v>
                </c:pt>
              </c:numCache>
            </c:numRef>
          </c:val>
          <c:smooth val="0"/>
          <c:extLst>
            <c:ext xmlns:c16="http://schemas.microsoft.com/office/drawing/2014/chart" uri="{C3380CC4-5D6E-409C-BE32-E72D297353CC}">
              <c16:uniqueId val="{00000000-E3AD-401F-B41C-0341136E46B8}"/>
            </c:ext>
          </c:extLst>
        </c:ser>
        <c:ser>
          <c:idx val="1"/>
          <c:order val="1"/>
          <c:tx>
            <c:strRef>
              <c:f>'Analysis-2'!$E$5</c:f>
              <c:strCache>
                <c:ptCount val="1"/>
                <c:pt idx="0">
                  <c:v>Total Target</c:v>
                </c:pt>
              </c:strCache>
            </c:strRef>
          </c:tx>
          <c:spPr>
            <a:ln w="28575" cap="rnd">
              <a:solidFill>
                <a:schemeClr val="accent2"/>
              </a:solidFill>
              <a:round/>
            </a:ln>
            <a:effectLst/>
          </c:spPr>
          <c:marker>
            <c:symbol val="none"/>
          </c:marker>
          <c:cat>
            <c:strRef>
              <c:f>'Analysis-2'!$C$6:$C$17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'Analysis-2'!$E$6:$E$17</c:f>
              <c:numCache>
                <c:formatCode>[&gt;=1000000]"$"0,,"M";[&gt;1000]"$"0,"K";0</c:formatCode>
                <c:ptCount val="12"/>
                <c:pt idx="0">
                  <c:v>439042</c:v>
                </c:pt>
                <c:pt idx="1">
                  <c:v>431279</c:v>
                </c:pt>
                <c:pt idx="2">
                  <c:v>445591</c:v>
                </c:pt>
                <c:pt idx="3">
                  <c:v>453071</c:v>
                </c:pt>
                <c:pt idx="4">
                  <c:v>444167</c:v>
                </c:pt>
                <c:pt idx="5">
                  <c:v>421979</c:v>
                </c:pt>
                <c:pt idx="6">
                  <c:v>456718</c:v>
                </c:pt>
                <c:pt idx="7">
                  <c:v>431727</c:v>
                </c:pt>
                <c:pt idx="8">
                  <c:v>446912</c:v>
                </c:pt>
                <c:pt idx="9">
                  <c:v>414360</c:v>
                </c:pt>
                <c:pt idx="10">
                  <c:v>413371</c:v>
                </c:pt>
                <c:pt idx="11">
                  <c:v>456773</c:v>
                </c:pt>
              </c:numCache>
            </c:numRef>
          </c:val>
          <c:smooth val="0"/>
          <c:extLst>
            <c:ext xmlns:c16="http://schemas.microsoft.com/office/drawing/2014/chart" uri="{C3380CC4-5D6E-409C-BE32-E72D297353CC}">
              <c16:uniqueId val="{00000001-E3AD-401F-B41C-0341136E46B8}"/>
            </c:ext>
          </c:extLst>
        </c:ser>
        <c:dLbls>
          <c:showLegendKey val="0"/>
          <c:showVal val="0"/>
          <c:showCatName val="0"/>
          <c:showSerName val="0"/>
          <c:showPercent val="0"/>
          <c:showBubbleSize val="0"/>
        </c:dLbls>
        <c:smooth val="0"/>
        <c:axId val="1484400895"/>
        <c:axId val="1484391327"/>
      </c:lineChart>
      <c:catAx>
        <c:axId val="148440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391327"/>
        <c:crosses val="autoZero"/>
        <c:auto val="1"/>
        <c:lblAlgn val="ctr"/>
        <c:lblOffset val="100"/>
        <c:noMultiLvlLbl val="0"/>
      </c:catAx>
      <c:valAx>
        <c:axId val="1484391327"/>
        <c:scaling>
          <c:orientation val="minMax"/>
        </c:scaling>
        <c:delete val="0"/>
        <c:axPos val="l"/>
        <c:numFmt formatCode="[&gt;=1000000]&quot;$&quot;0,,&quot;M&quot;;[&gt;1000]&quot;$&quot;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400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569043031470777E-3"/>
          <c:y val="9.1097308488612833E-2"/>
          <c:w val="0.99486191393705847"/>
          <c:h val="0.81780538302277428"/>
        </c:manualLayout>
      </c:layout>
      <c:barChart>
        <c:barDir val="col"/>
        <c:grouping val="clustered"/>
        <c:varyColors val="0"/>
        <c:ser>
          <c:idx val="0"/>
          <c:order val="0"/>
          <c:tx>
            <c:strRef>
              <c:f>'Analysis-2'!$O$5</c:f>
              <c:strCache>
                <c:ptCount val="1"/>
                <c:pt idx="0">
                  <c:v>Variance</c:v>
                </c:pt>
              </c:strCache>
            </c:strRef>
          </c:tx>
          <c:spPr>
            <a:solidFill>
              <a:srgbClr val="00B050"/>
            </a:solidFill>
            <a:ln>
              <a:solidFill>
                <a:schemeClr val="bg1"/>
              </a:solid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'Analysis-2'!$N$6:$N$17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'Analysis-2'!$O$6:$O$17</c:f>
              <c:numCache>
                <c:formatCode>\+0.0%;\-0.0%</c:formatCode>
                <c:ptCount val="12"/>
                <c:pt idx="0">
                  <c:v>1.1662938853230749E-2</c:v>
                </c:pt>
                <c:pt idx="1">
                  <c:v>-1.7477039225188291E-2</c:v>
                </c:pt>
                <c:pt idx="2">
                  <c:v>5.1063127397096203E-2</c:v>
                </c:pt>
                <c:pt idx="3">
                  <c:v>-9.7517607615581932E-3</c:v>
                </c:pt>
                <c:pt idx="4">
                  <c:v>8.2297063942165932E-2</c:v>
                </c:pt>
                <c:pt idx="5">
                  <c:v>7.9440303901378878E-2</c:v>
                </c:pt>
                <c:pt idx="6">
                  <c:v>-5.0342092932618009E-2</c:v>
                </c:pt>
                <c:pt idx="7">
                  <c:v>0.12516995694038077</c:v>
                </c:pt>
                <c:pt idx="8">
                  <c:v>-7.7522420521259575E-3</c:v>
                </c:pt>
                <c:pt idx="9">
                  <c:v>0.10769470991408368</c:v>
                </c:pt>
                <c:pt idx="10">
                  <c:v>0.11894015303443975</c:v>
                </c:pt>
                <c:pt idx="11">
                  <c:v>-3.4038154619471607E-2</c:v>
                </c:pt>
              </c:numCache>
            </c:numRef>
          </c:val>
          <c:extLst>
            <c:ext xmlns:c14="http://schemas.microsoft.com/office/drawing/2007/8/2/chart" uri="{6F2FDCE9-48DA-4B69-8628-5D25D57E5C99}">
              <c14:invertSolidFillFmt>
                <c14:spPr xmlns:c14="http://schemas.microsoft.com/office/drawing/2007/8/2/chart">
                  <a:solidFill>
                    <a:srgbClr val="C00000"/>
                  </a:solidFill>
                  <a:ln>
                    <a:solidFill>
                      <a:schemeClr val="bg1"/>
                    </a:solidFill>
                  </a:ln>
                  <a:effectLst/>
                </c14:spPr>
              </c14:invertSolidFillFmt>
            </c:ext>
            <c:ext xmlns:c16="http://schemas.microsoft.com/office/drawing/2014/chart" uri="{C3380CC4-5D6E-409C-BE32-E72D297353CC}">
              <c16:uniqueId val="{00000000-E4E9-4742-870F-0D4FC52E6A91}"/>
            </c:ext>
          </c:extLst>
        </c:ser>
        <c:dLbls>
          <c:showLegendKey val="0"/>
          <c:showVal val="0"/>
          <c:showCatName val="0"/>
          <c:showSerName val="0"/>
          <c:showPercent val="0"/>
          <c:showBubbleSize val="0"/>
        </c:dLbls>
        <c:gapWidth val="59"/>
        <c:overlap val="-27"/>
        <c:axId val="1856666416"/>
        <c:axId val="1856666832"/>
      </c:barChart>
      <c:catAx>
        <c:axId val="1856666416"/>
        <c:scaling>
          <c:orientation val="minMax"/>
        </c:scaling>
        <c:delete val="1"/>
        <c:axPos val="b"/>
        <c:numFmt formatCode="General" sourceLinked="1"/>
        <c:majorTickMark val="none"/>
        <c:minorTickMark val="none"/>
        <c:tickLblPos val="nextTo"/>
        <c:crossAx val="1856666832"/>
        <c:crosses val="autoZero"/>
        <c:auto val="1"/>
        <c:lblAlgn val="ctr"/>
        <c:lblOffset val="100"/>
        <c:noMultiLvlLbl val="0"/>
      </c:catAx>
      <c:valAx>
        <c:axId val="1856666832"/>
        <c:scaling>
          <c:orientation val="minMax"/>
        </c:scaling>
        <c:delete val="1"/>
        <c:axPos val="l"/>
        <c:numFmt formatCode="\+0.0%;\-0.0%" sourceLinked="1"/>
        <c:majorTickMark val="none"/>
        <c:minorTickMark val="none"/>
        <c:tickLblPos val="nextTo"/>
        <c:crossAx val="18566664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8448284229968663E-2"/>
          <c:y val="7.9710144927536225E-2"/>
          <c:w val="0.93045974966007661"/>
          <c:h val="0.75218646582220705"/>
        </c:manualLayout>
      </c:layout>
      <c:barChart>
        <c:barDir val="col"/>
        <c:grouping val="clustered"/>
        <c:varyColors val="0"/>
        <c:ser>
          <c:idx val="0"/>
          <c:order val="0"/>
          <c:tx>
            <c:strRef>
              <c:f>'Analysis-2'!$AD$13</c:f>
              <c:strCache>
                <c:ptCount val="1"/>
                <c:pt idx="0">
                  <c:v>Total Revenue</c:v>
                </c:pt>
              </c:strCache>
            </c:strRef>
          </c:tx>
          <c:spPr>
            <a:solidFill>
              <a:schemeClr val="accent1"/>
            </a:solidFill>
            <a:ln>
              <a:noFill/>
            </a:ln>
            <a:effectLst/>
          </c:spPr>
          <c:invertIfNegative val="0"/>
          <c:dPt>
            <c:idx val="0"/>
            <c:invertIfNegative val="0"/>
            <c:bubble3D val="0"/>
            <c:spPr>
              <a:solidFill>
                <a:srgbClr val="70C7E6"/>
              </a:solidFill>
              <a:ln>
                <a:noFill/>
              </a:ln>
              <a:effectLst/>
            </c:spPr>
            <c:extLst>
              <c:ext xmlns:c16="http://schemas.microsoft.com/office/drawing/2014/chart" uri="{C3380CC4-5D6E-409C-BE32-E72D297353CC}">
                <c16:uniqueId val="{00000001-5C27-403E-867A-874AD914849C}"/>
              </c:ext>
            </c:extLst>
          </c:dPt>
          <c:dLbls>
            <c:dLbl>
              <c:idx val="0"/>
              <c:layout/>
              <c:tx>
                <c:rich>
                  <a:bodyPr/>
                  <a:lstStyle/>
                  <a:p>
                    <a:fld id="{58EF26CF-9FE5-43FF-8030-4AF0326DFFE8}" type="CELLRANGE">
                      <a:rPr lang="en-US"/>
                      <a:pPr/>
                      <a:t>[CELLRANGE]</a:t>
                    </a:fld>
                    <a:endParaRPr lang="en-US" baseline="0"/>
                  </a:p>
                  <a:p>
                    <a:fld id="{A65CB922-423C-47C2-8E76-18A198EC6352}" type="VALUE">
                      <a:rPr lang="en-US"/>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5C27-403E-867A-874AD914849C}"/>
                </c:ext>
              </c:extLst>
            </c:dLbl>
            <c:dLbl>
              <c:idx val="1"/>
              <c:layout/>
              <c:tx>
                <c:rich>
                  <a:bodyPr/>
                  <a:lstStyle/>
                  <a:p>
                    <a:fld id="{5A825FC6-483C-4242-B7B1-E605AB1CC918}" type="CELLRANGE">
                      <a:rPr lang="en-US"/>
                      <a:pPr/>
                      <a:t>[CELLRANGE]</a:t>
                    </a:fld>
                    <a:endParaRPr lang="en-US" baseline="0"/>
                  </a:p>
                  <a:p>
                    <a:fld id="{86442085-5C5E-41BA-A52A-35512C2A3A54}" type="VALUE">
                      <a:rPr lang="en-US"/>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5C27-403E-867A-874AD914849C}"/>
                </c:ext>
              </c:extLst>
            </c:dLbl>
            <c:dLbl>
              <c:idx val="2"/>
              <c:layout/>
              <c:tx>
                <c:rich>
                  <a:bodyPr/>
                  <a:lstStyle/>
                  <a:p>
                    <a:fld id="{5751BB1B-2B13-456E-ABA2-E678A67E6167}" type="CELLRANGE">
                      <a:rPr lang="en-US"/>
                      <a:pPr/>
                      <a:t>[CELLRANGE]</a:t>
                    </a:fld>
                    <a:endParaRPr lang="en-US" baseline="0"/>
                  </a:p>
                  <a:p>
                    <a:fld id="{A93A45E0-C440-478D-8900-15D3AD2BFDE9}" type="VALUE">
                      <a:rPr lang="en-US"/>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5C27-403E-867A-874AD914849C}"/>
                </c:ext>
              </c:extLst>
            </c:dLbl>
            <c:dLbl>
              <c:idx val="3"/>
              <c:layout/>
              <c:tx>
                <c:rich>
                  <a:bodyPr/>
                  <a:lstStyle/>
                  <a:p>
                    <a:fld id="{1308C9ED-5D22-4A33-B541-4BF532994BCB}" type="CELLRANGE">
                      <a:rPr lang="en-US"/>
                      <a:pPr/>
                      <a:t>[CELLRANGE]</a:t>
                    </a:fld>
                    <a:endParaRPr lang="en-US" baseline="0"/>
                  </a:p>
                  <a:p>
                    <a:fld id="{C0545192-4D96-44F7-97DC-FDCA5911DB11}" type="VALUE">
                      <a:rPr lang="en-US"/>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4-5C27-403E-867A-874AD91484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'Analysis-2'!$AC$14:$AC$17</c:f>
              <c:strCache>
                <c:ptCount val="4"/>
                <c:pt idx="0">
                  <c:v>Q-1</c:v>
                </c:pt>
                <c:pt idx="1">
                  <c:v>Q-2</c:v>
                </c:pt>
                <c:pt idx="2">
                  <c:v>Q-3</c:v>
                </c:pt>
                <c:pt idx="3">
                  <c:v>Q-4</c:v>
                </c:pt>
              </c:strCache>
            </c:strRef>
          </c:cat>
          <c:val>
            <c:numRef>
              <c:f>'Analysis-2'!$AD$14:$AD$17</c:f>
              <c:numCache>
                <c:formatCode>[&gt;=1000000]"$"0.0,,"M";[&gt;1000]"$"0.0,"K";0.0</c:formatCode>
                <c:ptCount val="4"/>
                <c:pt idx="0">
                  <c:v>1336248.3099999984</c:v>
                </c:pt>
                <c:pt idx="1">
                  <c:v>1384874.5400000024</c:v>
                </c:pt>
                <c:pt idx="2">
                  <c:v>1362939.5400000014</c:v>
                </c:pt>
                <c:pt idx="3">
                  <c:v>1362747.0800000008</c:v>
                </c:pt>
              </c:numCache>
            </c:numRef>
          </c:val>
          <c:extLst>
            <c:ext xmlns:c15="http://schemas.microsoft.com/office/drawing/2012/chart" uri="{02D57815-91ED-43cb-92C2-25804820EDAC}">
              <c15:datalabelsRange>
                <c15:f>'Analysis-2'!$AE$6:$AE$9</c15:f>
                <c15:dlblRangeCache>
                  <c:ptCount val="4"/>
                  <c:pt idx="1">
                    <c:v>+3.6%</c:v>
                  </c:pt>
                  <c:pt idx="2">
                    <c:v>-1.6%</c:v>
                  </c:pt>
                  <c:pt idx="3">
                    <c:v>-0.0%</c:v>
                  </c:pt>
                </c15:dlblRangeCache>
              </c15:datalabelsRange>
            </c:ext>
            <c:ext xmlns:c16="http://schemas.microsoft.com/office/drawing/2014/chart" uri="{C3380CC4-5D6E-409C-BE32-E72D297353CC}">
              <c16:uniqueId val="{00000005-5C27-403E-867A-874AD914849C}"/>
            </c:ext>
          </c:extLst>
        </c:ser>
        <c:ser>
          <c:idx val="1"/>
          <c:order val="1"/>
          <c:tx>
            <c:v>Highlights</c:v>
          </c:tx>
          <c:spPr>
            <a:solidFill>
              <a:srgbClr val="1F8CB3"/>
            </a:solidFill>
            <a:ln>
              <a:noFill/>
            </a:ln>
            <a:effectLst/>
          </c:spPr>
          <c:invertIfNegative val="0"/>
          <c:val>
            <c:numRef>
              <c:f>'Analysis-2'!$AE$14:$AE$17</c:f>
              <c:numCache>
                <c:formatCode>[&gt;=1000000]"$"0.0,,"M";[&gt;1000]"$"0.0,"K";0.0</c:formatCode>
                <c:ptCount val="4"/>
                <c:pt idx="0">
                  <c:v>0</c:v>
                </c:pt>
                <c:pt idx="1">
                  <c:v>1384874.5400000024</c:v>
                </c:pt>
                <c:pt idx="2">
                  <c:v>1362939.5400000014</c:v>
                </c:pt>
                <c:pt idx="3">
                  <c:v>1362747.0800000008</c:v>
                </c:pt>
              </c:numCache>
            </c:numRef>
          </c:val>
          <c:extLst>
            <c:ext xmlns:c16="http://schemas.microsoft.com/office/drawing/2014/chart" uri="{C3380CC4-5D6E-409C-BE32-E72D297353CC}">
              <c16:uniqueId val="{00000006-5C27-403E-867A-874AD914849C}"/>
            </c:ext>
          </c:extLst>
        </c:ser>
        <c:dLbls>
          <c:showLegendKey val="0"/>
          <c:showVal val="0"/>
          <c:showCatName val="0"/>
          <c:showSerName val="0"/>
          <c:showPercent val="0"/>
          <c:showBubbleSize val="0"/>
        </c:dLbls>
        <c:gapWidth val="114"/>
        <c:overlap val="100"/>
        <c:axId val="1181461280"/>
        <c:axId val="1181463360"/>
      </c:barChart>
      <c:lineChart>
        <c:grouping val="standard"/>
        <c:varyColors val="0"/>
        <c:ser>
          <c:idx val="2"/>
          <c:order val="2"/>
          <c:tx>
            <c:strRef>
              <c:f>'Analysis-2'!$AF$13</c:f>
              <c:strCache>
                <c:ptCount val="1"/>
                <c:pt idx="0">
                  <c:v>Average</c:v>
                </c:pt>
              </c:strCache>
            </c:strRef>
          </c:tx>
          <c:spPr>
            <a:ln w="19050" cap="rnd">
              <a:solidFill>
                <a:schemeClr val="accent3"/>
              </a:solidFill>
              <a:prstDash val="lgDash"/>
              <a:round/>
            </a:ln>
            <a:effectLst/>
          </c:spPr>
          <c:marker>
            <c:symbol val="none"/>
          </c:marker>
          <c:val>
            <c:numRef>
              <c:f>'Analysis-2'!$AF$14:$AF$17</c:f>
              <c:numCache>
                <c:formatCode>[&gt;=1000000]"$"0.0,,"M";[&gt;1000]"$"0.0,"K";0.0</c:formatCode>
                <c:ptCount val="4"/>
                <c:pt idx="0">
                  <c:v>1361702.3675000006</c:v>
                </c:pt>
                <c:pt idx="1">
                  <c:v>1361702.3675000006</c:v>
                </c:pt>
                <c:pt idx="2">
                  <c:v>1361702.3675000006</c:v>
                </c:pt>
                <c:pt idx="3">
                  <c:v>1361702.3675000006</c:v>
                </c:pt>
              </c:numCache>
            </c:numRef>
          </c:val>
          <c:smooth val="0"/>
          <c:extLst>
            <c:ext xmlns:c16="http://schemas.microsoft.com/office/drawing/2014/chart" uri="{C3380CC4-5D6E-409C-BE32-E72D297353CC}">
              <c16:uniqueId val="{00000007-5C27-403E-867A-874AD914849C}"/>
            </c:ext>
          </c:extLst>
        </c:ser>
        <c:dLbls>
          <c:showLegendKey val="0"/>
          <c:showVal val="0"/>
          <c:showCatName val="0"/>
          <c:showSerName val="0"/>
          <c:showPercent val="0"/>
          <c:showBubbleSize val="0"/>
        </c:dLbls>
        <c:marker val="1"/>
        <c:smooth val="0"/>
        <c:axId val="1181461280"/>
        <c:axId val="1181463360"/>
      </c:lineChart>
      <c:catAx>
        <c:axId val="118146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463360"/>
        <c:crosses val="autoZero"/>
        <c:auto val="1"/>
        <c:lblAlgn val="ctr"/>
        <c:lblOffset val="100"/>
        <c:noMultiLvlLbl val="0"/>
      </c:catAx>
      <c:valAx>
        <c:axId val="1181463360"/>
        <c:scaling>
          <c:orientation val="minMax"/>
        </c:scaling>
        <c:delete val="1"/>
        <c:axPos val="l"/>
        <c:numFmt formatCode="[&gt;=1000000]&quot;$&quot;0.0,,&quot;M&quot;;[&gt;1000]&quot;$&quot;0.0,&quot;K&quot;;0.0" sourceLinked="1"/>
        <c:majorTickMark val="none"/>
        <c:minorTickMark val="none"/>
        <c:tickLblPos val="nextTo"/>
        <c:crossAx val="11814612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8448284229968663E-2"/>
          <c:y val="7.9710144927536225E-2"/>
          <c:w val="0.93045974966007661"/>
          <c:h val="0.75218646582220705"/>
        </c:manualLayout>
      </c:layout>
      <c:barChart>
        <c:barDir val="col"/>
        <c:grouping val="clustered"/>
        <c:varyColors val="0"/>
        <c:dLbls>
          <c:showLegendKey val="0"/>
          <c:showVal val="0"/>
          <c:showCatName val="0"/>
          <c:showSerName val="0"/>
          <c:showPercent val="0"/>
          <c:showBubbleSize val="0"/>
        </c:dLbls>
        <c:gapWidth val="114"/>
        <c:overlap val="100"/>
        <c:axId val="1181461280"/>
        <c:axId val="1181463360"/>
      </c:barChart>
      <c:catAx>
        <c:axId val="118146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463360"/>
        <c:crosses val="autoZero"/>
        <c:auto val="1"/>
        <c:lblAlgn val="ctr"/>
        <c:lblOffset val="100"/>
        <c:noMultiLvlLbl val="0"/>
      </c:catAx>
      <c:valAx>
        <c:axId val="1181463360"/>
        <c:scaling>
          <c:orientation val="minMax"/>
        </c:scaling>
        <c:delete val="1"/>
        <c:axPos val="l"/>
        <c:numFmt formatCode="[&gt;=1000000]&quot;$&quot;0.0,,&quot;M&quot;;[&gt;1000]&quot;$&quot;0.0,&quot;K&quot;;0.0" sourceLinked="1"/>
        <c:majorTickMark val="none"/>
        <c:minorTickMark val="none"/>
        <c:tickLblPos val="nextTo"/>
        <c:crossAx val="1181461280"/>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[Dashboard.xlsx]Analysis-2!PivotTable4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'Analysis-2'!$AI$5</c:f>
              <c:strCache>
                <c:ptCount val="1"/>
                <c:pt idx="0">
                  <c:v>Total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'Analysis-2'!$AH$6:$AH$12</c:f>
              <c:strCache>
                <c:ptCount val="7"/>
                <c:pt idx="0">
                  <c:v>Sun</c:v>
                </c:pt>
                <c:pt idx="1">
                  <c:v>Mon</c:v>
                </c:pt>
                <c:pt idx="2">
                  <c:v>Tue</c:v>
                </c:pt>
                <c:pt idx="3">
                  <c:v>Wed</c:v>
                </c:pt>
                <c:pt idx="4">
                  <c:v>Thu</c:v>
                </c:pt>
                <c:pt idx="5">
                  <c:v>Fri</c:v>
                </c:pt>
                <c:pt idx="6">
                  <c:v>Sat</c:v>
                </c:pt>
              </c:strCache>
            </c:strRef>
          </c:cat>
          <c:val>
            <c:numRef>
              <c:f>'Analysis-2'!$AI$6:$AI$12</c:f>
              <c:numCache>
                <c:formatCode>[&gt;=1000000]"$"0.0,,"M";[&gt;1000]"$"0.0,"K";0.0</c:formatCode>
                <c:ptCount val="7"/>
                <c:pt idx="0">
                  <c:v>765868.27999999898</c:v>
                </c:pt>
                <c:pt idx="1">
                  <c:v>789470.8800000028</c:v>
                </c:pt>
                <c:pt idx="2">
                  <c:v>772166.82999999914</c:v>
                </c:pt>
                <c:pt idx="3">
                  <c:v>774303.62999999756</c:v>
                </c:pt>
                <c:pt idx="4">
                  <c:v>795985.00999999966</c:v>
                </c:pt>
                <c:pt idx="5">
                  <c:v>762351.78000000084</c:v>
                </c:pt>
                <c:pt idx="6">
                  <c:v>786663.06000000041</c:v>
                </c:pt>
              </c:numCache>
            </c:numRef>
          </c:val>
          <c:extLst>
            <c:ext xmlns:c16="http://schemas.microsoft.com/office/drawing/2014/chart" uri="{C3380CC4-5D6E-409C-BE32-E72D297353CC}">
              <c16:uniqueId val="{00000000-D73A-478D-A487-7C90296D17D4}"/>
            </c:ext>
          </c:extLst>
        </c:ser>
        <c:ser>
          <c:idx val="1"/>
          <c:order val="1"/>
          <c:tx>
            <c:strRef>
              <c:f>'Analysis-2'!$AJ$5</c:f>
              <c:strCache>
                <c:ptCount val="1"/>
                <c:pt idx="0">
                  <c:v>Total Revenue2</c:v>
                </c:pt>
              </c:strCache>
            </c:strRef>
          </c:tx>
          <c:spPr>
            <a:solidFill>
              <a:schemeClr val="accent2"/>
            </a:solidFill>
            <a:ln>
              <a:noFill/>
            </a:ln>
            <a:effectLst/>
          </c:spPr>
          <c:invertIfNegative val="0"/>
          <c:cat>
            <c:strRef>
              <c:f>'Analysis-2'!$AH$6:$AH$12</c:f>
              <c:strCache>
                <c:ptCount val="7"/>
                <c:pt idx="0">
                  <c:v>Sun</c:v>
                </c:pt>
                <c:pt idx="1">
                  <c:v>Mon</c:v>
                </c:pt>
                <c:pt idx="2">
                  <c:v>Tue</c:v>
                </c:pt>
                <c:pt idx="3">
                  <c:v>Wed</c:v>
                </c:pt>
                <c:pt idx="4">
                  <c:v>Thu</c:v>
                </c:pt>
                <c:pt idx="5">
                  <c:v>Fri</c:v>
                </c:pt>
                <c:pt idx="6">
                  <c:v>Sat</c:v>
                </c:pt>
              </c:strCache>
            </c:strRef>
          </c:cat>
          <c:val>
            <c:numRef>
              <c:f>'Analysis-2'!$AJ$6:$AJ$12</c:f>
              <c:numCache>
                <c:formatCode>0.0%</c:formatCode>
                <c:ptCount val="7"/>
                <c:pt idx="0">
                  <c:v>0.14060860476546028</c:v>
                </c:pt>
                <c:pt idx="1">
                  <c:v>0.14494189384597655</c:v>
                </c:pt>
                <c:pt idx="2">
                  <c:v>0.14176497897584736</c:v>
                </c:pt>
                <c:pt idx="3">
                  <c:v>0.14215728203174963</c:v>
                </c:pt>
                <c:pt idx="4">
                  <c:v>0.14613784719001685</c:v>
                </c:pt>
                <c:pt idx="5">
                  <c:v>0.13996299745729826</c:v>
                </c:pt>
                <c:pt idx="6">
                  <c:v>0.14442639573364727</c:v>
                </c:pt>
              </c:numCache>
            </c:numRef>
          </c:val>
          <c:extLst>
            <c:ext xmlns:c16="http://schemas.microsoft.com/office/drawing/2014/chart" uri="{C3380CC4-5D6E-409C-BE32-E72D297353CC}">
              <c16:uniqueId val="{00000001-D73A-478D-A487-7C90296D17D4}"/>
            </c:ext>
          </c:extLst>
        </c:ser>
        <c:dLbls>
          <c:showLegendKey val="0"/>
          <c:showVal val="0"/>
          <c:showCatName val="0"/>
          <c:showSerName val="0"/>
          <c:showPercent val="0"/>
          <c:showBubbleSize val="0"/>
        </c:dLbls>
        <c:gapWidth val="84"/>
        <c:overlap val="-27"/>
        <c:axId val="1134065872"/>
        <c:axId val="1134074192"/>
      </c:barChart>
      <c:catAx>
        <c:axId val="113406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074192"/>
        <c:crosses val="autoZero"/>
        <c:auto val="1"/>
        <c:lblAlgn val="ctr"/>
        <c:lblOffset val="100"/>
        <c:noMultiLvlLbl val="0"/>
      </c:catAx>
      <c:valAx>
        <c:axId val="1134074192"/>
        <c:scaling>
          <c:orientation val="minMax"/>
        </c:scaling>
        <c:delete val="1"/>
        <c:axPos val="l"/>
        <c:numFmt formatCode="[&gt;=1000000]&quot;$&quot;0.0,,&quot;M&quot;;[&gt;1000]&quot;$&quot;0.0,&quot;K&quot;;0.0" sourceLinked="1"/>
        <c:majorTickMark val="none"/>
        <c:minorTickMark val="none"/>
        <c:tickLblPos val="nextTo"/>
        <c:crossAx val="113406587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[Dashboard.xlsx]Sheet3!Store_revenue_target</c:name>
    <c:fmtId val="7"/>
  </c:pivotSource>
  <c:chart>
    <c:autoTitleDeleted val="0"/>
    <c:pivotFmts>
      <c:pivotFmt>
        <c:idx val="0"/>
        <c:spPr>
          <a:solidFill>
            <a:schemeClr val="bg2">
              <a:lumMod val="2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25000"/>
            </a:schemeClr>
          </a:solidFill>
          <a:ln>
            <a:noFill/>
          </a:ln>
          <a:effectLst/>
          <a:sp3d/>
        </c:spPr>
        <c:marker>
          <c:symbol val="none"/>
        </c:marker>
      </c:pivotFmt>
      <c:pivotFmt>
        <c:idx val="3"/>
        <c:spPr>
          <a:solidFill>
            <a:schemeClr val="bg2">
              <a:lumMod val="50000"/>
            </a:schemeClr>
          </a:solidFill>
          <a:ln>
            <a:noFill/>
          </a:ln>
          <a:effectLst/>
          <a:sp3d/>
        </c:spPr>
        <c:marker>
          <c:symbol val="none"/>
        </c:marker>
      </c:pivotFmt>
      <c:pivotFmt>
        <c:idx val="4"/>
        <c:spPr>
          <a:solidFill>
            <a:schemeClr val="bg2">
              <a:lumMod val="25000"/>
            </a:schemeClr>
          </a:solidFill>
          <a:ln>
            <a:noFill/>
          </a:ln>
          <a:effectLst/>
          <a:sp3d/>
        </c:spPr>
        <c:marker>
          <c:symbol val="none"/>
        </c:marker>
      </c:pivotFmt>
      <c:pivotFmt>
        <c:idx val="5"/>
        <c:spPr>
          <a:solidFill>
            <a:schemeClr val="bg2">
              <a:lumMod val="50000"/>
            </a:schemeClr>
          </a:solidFill>
          <a:ln>
            <a:noFill/>
          </a:ln>
          <a:effectLst/>
          <a:sp3d/>
        </c:spPr>
        <c:marker>
          <c:symbol val="none"/>
        </c:marker>
      </c:pivotFmt>
      <c:pivotFmt>
        <c:idx val="6"/>
        <c:spPr>
          <a:solidFill>
            <a:schemeClr val="bg2">
              <a:lumMod val="25000"/>
            </a:schemeClr>
          </a:solidFill>
          <a:ln>
            <a:noFill/>
          </a:ln>
          <a:effectLst/>
          <a:sp3d/>
        </c:spPr>
        <c:marker>
          <c:symbol val="none"/>
        </c:marker>
      </c:pivotFmt>
      <c:pivotFmt>
        <c:idx val="7"/>
        <c:spPr>
          <a:solidFill>
            <a:schemeClr val="bg2">
              <a:lumMod val="50000"/>
            </a:schemeClr>
          </a:solidFill>
          <a:ln>
            <a:noFill/>
          </a:ln>
          <a:effectLst/>
          <a:sp3d/>
        </c:spPr>
        <c:marker>
          <c:symbol val="none"/>
        </c:marker>
      </c:pivotFmt>
      <c:pivotFmt>
        <c:idx val="8"/>
        <c:spPr>
          <a:solidFill>
            <a:schemeClr val="bg2">
              <a:lumMod val="25000"/>
            </a:schemeClr>
          </a:solidFill>
          <a:ln>
            <a:noFill/>
          </a:ln>
          <a:effectLst/>
          <a:sp3d/>
        </c:spPr>
        <c:marker>
          <c:symbol val="none"/>
        </c:marker>
      </c:pivotFmt>
      <c:pivotFmt>
        <c:idx val="9"/>
        <c:spPr>
          <a:solidFill>
            <a:schemeClr val="bg2">
              <a:lumMod val="50000"/>
            </a:schemeClr>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1797653368582182E-2"/>
          <c:y val="3.7155166924889113E-2"/>
          <c:w val="0.92820234663141776"/>
          <c:h val="0.75498496650182878"/>
        </c:manualLayout>
      </c:layout>
      <c:bar3DChart>
        <c:barDir val="col"/>
        <c:grouping val="clustered"/>
        <c:varyColors val="0"/>
        <c:ser>
          <c:idx val="0"/>
          <c:order val="0"/>
          <c:tx>
            <c:strRef>
              <c:f>Sheet3!$P$3</c:f>
              <c:strCache>
                <c:ptCount val="1"/>
                <c:pt idx="0">
                  <c:v>Total Revenue</c:v>
                </c:pt>
              </c:strCache>
            </c:strRef>
          </c:tx>
          <c:spPr>
            <a:solidFill>
              <a:schemeClr val="bg2">
                <a:lumMod val="25000"/>
              </a:schemeClr>
            </a:solidFill>
            <a:ln>
              <a:noFill/>
            </a:ln>
            <a:effectLst/>
            <a:sp3d/>
          </c:spPr>
          <c:invertIfNegative val="0"/>
          <c:cat>
            <c:strRef>
              <c:f>Sheet3!$O$4:$O$14</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Sheet3!$P$4:$P$14</c:f>
              <c:numCache>
                <c:formatCode>\$#,##0.00;\(\$#,##0.00\);\$#,##0.00</c:formatCode>
                <c:ptCount val="10"/>
                <c:pt idx="0">
                  <c:v>48516.549999999996</c:v>
                </c:pt>
                <c:pt idx="1">
                  <c:v>37484.260000000009</c:v>
                </c:pt>
                <c:pt idx="2">
                  <c:v>46473.150000000009</c:v>
                </c:pt>
                <c:pt idx="3">
                  <c:v>37394.280000000006</c:v>
                </c:pt>
                <c:pt idx="4">
                  <c:v>43627.72</c:v>
                </c:pt>
                <c:pt idx="5">
                  <c:v>54290.48000000001</c:v>
                </c:pt>
                <c:pt idx="6">
                  <c:v>37631.01</c:v>
                </c:pt>
                <c:pt idx="7">
                  <c:v>49285.889999999992</c:v>
                </c:pt>
                <c:pt idx="8">
                  <c:v>45326.530000000006</c:v>
                </c:pt>
                <c:pt idx="9">
                  <c:v>43417.560000000012</c:v>
                </c:pt>
              </c:numCache>
            </c:numRef>
          </c:val>
          <c:extLst>
            <c:ext xmlns:c16="http://schemas.microsoft.com/office/drawing/2014/chart" uri="{C3380CC4-5D6E-409C-BE32-E72D297353CC}">
              <c16:uniqueId val="{00000000-7388-4D69-977D-D43B9387CAD7}"/>
            </c:ext>
          </c:extLst>
        </c:ser>
        <c:ser>
          <c:idx val="1"/>
          <c:order val="1"/>
          <c:tx>
            <c:strRef>
              <c:f>Sheet3!$Q$3</c:f>
              <c:strCache>
                <c:ptCount val="1"/>
                <c:pt idx="0">
                  <c:v>Total Target</c:v>
                </c:pt>
              </c:strCache>
            </c:strRef>
          </c:tx>
          <c:spPr>
            <a:solidFill>
              <a:schemeClr val="bg2">
                <a:lumMod val="50000"/>
              </a:schemeClr>
            </a:solidFill>
            <a:ln>
              <a:noFill/>
            </a:ln>
            <a:effectLst/>
            <a:sp3d/>
          </c:spPr>
          <c:invertIfNegative val="0"/>
          <c:cat>
            <c:strRef>
              <c:f>Sheet3!$O$4:$O$14</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Sheet3!$Q$4:$Q$14</c:f>
              <c:numCache>
                <c:formatCode>\$#,##0;\(\$#,##0\);\$#,##0</c:formatCode>
                <c:ptCount val="10"/>
                <c:pt idx="0">
                  <c:v>32678</c:v>
                </c:pt>
                <c:pt idx="1">
                  <c:v>48154</c:v>
                </c:pt>
                <c:pt idx="2">
                  <c:v>31909</c:v>
                </c:pt>
                <c:pt idx="3">
                  <c:v>33894</c:v>
                </c:pt>
                <c:pt idx="4">
                  <c:v>56656</c:v>
                </c:pt>
                <c:pt idx="5">
                  <c:v>54604</c:v>
                </c:pt>
                <c:pt idx="6">
                  <c:v>37827</c:v>
                </c:pt>
                <c:pt idx="7">
                  <c:v>69716</c:v>
                </c:pt>
                <c:pt idx="8">
                  <c:v>45680</c:v>
                </c:pt>
                <c:pt idx="9">
                  <c:v>35794</c:v>
                </c:pt>
              </c:numCache>
            </c:numRef>
          </c:val>
          <c:extLst>
            <c:ext xmlns:c16="http://schemas.microsoft.com/office/drawing/2014/chart" uri="{C3380CC4-5D6E-409C-BE32-E72D297353CC}">
              <c16:uniqueId val="{00000001-7388-4D69-977D-D43B9387CAD7}"/>
            </c:ext>
          </c:extLst>
        </c:ser>
        <c:dLbls>
          <c:showLegendKey val="0"/>
          <c:showVal val="0"/>
          <c:showCatName val="0"/>
          <c:showSerName val="0"/>
          <c:showPercent val="0"/>
          <c:showBubbleSize val="0"/>
        </c:dLbls>
        <c:gapWidth val="150"/>
        <c:shape val="box"/>
        <c:axId val="1154798304"/>
        <c:axId val="1154790400"/>
        <c:axId val="0"/>
      </c:bar3DChart>
      <c:catAx>
        <c:axId val="1154798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790400"/>
        <c:crosses val="autoZero"/>
        <c:auto val="1"/>
        <c:lblAlgn val="ctr"/>
        <c:lblOffset val="100"/>
        <c:noMultiLvlLbl val="0"/>
      </c:catAx>
      <c:valAx>
        <c:axId val="1154790400"/>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798304"/>
        <c:crosses val="autoZero"/>
        <c:crossBetween val="between"/>
      </c:valAx>
      <c:spPr>
        <a:noFill/>
        <a:ln>
          <a:noFill/>
        </a:ln>
        <a:effectLst/>
      </c:spPr>
    </c:plotArea>
    <c:legend>
      <c:legendPos val="r"/>
      <c:layout>
        <c:manualLayout>
          <c:xMode val="edge"/>
          <c:yMode val="edge"/>
          <c:x val="0.10230006343273661"/>
          <c:y val="3.7615193934091573E-2"/>
          <c:w val="0.67445559898355689"/>
          <c:h val="9.6065908428113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[Dashboard.xlsx]Sheet3!Store_revenue_target</c:name>
    <c:fmtId val="2"/>
  </c:pivotSource>
  <c:chart>
    <c:autoTitleDeleted val="0"/>
    <c:pivotFmts>
      <c:pivotFmt>
        <c:idx val="0"/>
        <c:spPr>
          <a:solidFill>
            <a:schemeClr val="bg2">
              <a:lumMod val="2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25000"/>
            </a:schemeClr>
          </a:solidFill>
          <a:ln>
            <a:noFill/>
          </a:ln>
          <a:effectLst/>
          <a:sp3d/>
        </c:spPr>
        <c:marker>
          <c:symbol val="none"/>
        </c:marker>
      </c:pivotFmt>
      <c:pivotFmt>
        <c:idx val="3"/>
        <c:spPr>
          <a:solidFill>
            <a:schemeClr val="bg2">
              <a:lumMod val="50000"/>
            </a:schemeClr>
          </a:solidFill>
          <a:ln>
            <a:noFill/>
          </a:ln>
          <a:effectLst/>
          <a:sp3d/>
        </c:spPr>
        <c:marker>
          <c:symbol val="none"/>
        </c:marker>
      </c:pivotFmt>
      <c:pivotFmt>
        <c:idx val="4"/>
        <c:spPr>
          <a:solidFill>
            <a:schemeClr val="bg2">
              <a:lumMod val="25000"/>
            </a:schemeClr>
          </a:solidFill>
          <a:ln>
            <a:noFill/>
          </a:ln>
          <a:effectLst/>
          <a:sp3d/>
        </c:spPr>
        <c:marker>
          <c:symbol val="none"/>
        </c:marker>
      </c:pivotFmt>
      <c:pivotFmt>
        <c:idx val="5"/>
        <c:spPr>
          <a:solidFill>
            <a:schemeClr val="bg2">
              <a:lumMod val="50000"/>
            </a:schemeClr>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1797653368582182E-2"/>
          <c:y val="3.7155166924889113E-2"/>
          <c:w val="0.92820234663141776"/>
          <c:h val="0.75498496650182878"/>
        </c:manualLayout>
      </c:layout>
      <c:bar3DChart>
        <c:barDir val="col"/>
        <c:grouping val="clustered"/>
        <c:varyColors val="0"/>
        <c:ser>
          <c:idx val="0"/>
          <c:order val="0"/>
          <c:tx>
            <c:strRef>
              <c:f>Sheet3!$P$3</c:f>
              <c:strCache>
                <c:ptCount val="1"/>
                <c:pt idx="0">
                  <c:v>Total Revenue</c:v>
                </c:pt>
              </c:strCache>
            </c:strRef>
          </c:tx>
          <c:spPr>
            <a:solidFill>
              <a:schemeClr val="bg2">
                <a:lumMod val="25000"/>
              </a:schemeClr>
            </a:solidFill>
            <a:ln>
              <a:noFill/>
            </a:ln>
            <a:effectLst/>
            <a:sp3d/>
          </c:spPr>
          <c:invertIfNegative val="0"/>
          <c:cat>
            <c:strRef>
              <c:f>Sheet3!$O$4:$O$14</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Sheet3!$P$4:$P$14</c:f>
              <c:numCache>
                <c:formatCode>\$#,##0.00;\(\$#,##0.00\);\$#,##0.00</c:formatCode>
                <c:ptCount val="10"/>
                <c:pt idx="0">
                  <c:v>48516.549999999996</c:v>
                </c:pt>
                <c:pt idx="1">
                  <c:v>37484.260000000009</c:v>
                </c:pt>
                <c:pt idx="2">
                  <c:v>46473.150000000009</c:v>
                </c:pt>
                <c:pt idx="3">
                  <c:v>37394.280000000006</c:v>
                </c:pt>
                <c:pt idx="4">
                  <c:v>43627.72</c:v>
                </c:pt>
                <c:pt idx="5">
                  <c:v>54290.48000000001</c:v>
                </c:pt>
                <c:pt idx="6">
                  <c:v>37631.01</c:v>
                </c:pt>
                <c:pt idx="7">
                  <c:v>49285.889999999992</c:v>
                </c:pt>
                <c:pt idx="8">
                  <c:v>45326.530000000006</c:v>
                </c:pt>
                <c:pt idx="9">
                  <c:v>43417.560000000012</c:v>
                </c:pt>
              </c:numCache>
            </c:numRef>
          </c:val>
          <c:extLst>
            <c:ext xmlns:c16="http://schemas.microsoft.com/office/drawing/2014/chart" uri="{C3380CC4-5D6E-409C-BE32-E72D297353CC}">
              <c16:uniqueId val="{00000000-6418-49A5-90A8-2DACCC30BDA6}"/>
            </c:ext>
          </c:extLst>
        </c:ser>
        <c:ser>
          <c:idx val="1"/>
          <c:order val="1"/>
          <c:tx>
            <c:strRef>
              <c:f>Sheet3!$Q$3</c:f>
              <c:strCache>
                <c:ptCount val="1"/>
                <c:pt idx="0">
                  <c:v>Total Target</c:v>
                </c:pt>
              </c:strCache>
            </c:strRef>
          </c:tx>
          <c:spPr>
            <a:solidFill>
              <a:schemeClr val="bg2">
                <a:lumMod val="50000"/>
              </a:schemeClr>
            </a:solidFill>
            <a:ln>
              <a:noFill/>
            </a:ln>
            <a:effectLst/>
            <a:sp3d/>
          </c:spPr>
          <c:invertIfNegative val="0"/>
          <c:cat>
            <c:strRef>
              <c:f>Sheet3!$O$4:$O$14</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Sheet3!$Q$4:$Q$14</c:f>
              <c:numCache>
                <c:formatCode>\$#,##0;\(\$#,##0\);\$#,##0</c:formatCode>
                <c:ptCount val="10"/>
                <c:pt idx="0">
                  <c:v>32678</c:v>
                </c:pt>
                <c:pt idx="1">
                  <c:v>48154</c:v>
                </c:pt>
                <c:pt idx="2">
                  <c:v>31909</c:v>
                </c:pt>
                <c:pt idx="3">
                  <c:v>33894</c:v>
                </c:pt>
                <c:pt idx="4">
                  <c:v>56656</c:v>
                </c:pt>
                <c:pt idx="5">
                  <c:v>54604</c:v>
                </c:pt>
                <c:pt idx="6">
                  <c:v>37827</c:v>
                </c:pt>
                <c:pt idx="7">
                  <c:v>69716</c:v>
                </c:pt>
                <c:pt idx="8">
                  <c:v>45680</c:v>
                </c:pt>
                <c:pt idx="9">
                  <c:v>35794</c:v>
                </c:pt>
              </c:numCache>
            </c:numRef>
          </c:val>
          <c:extLst>
            <c:ext xmlns:c16="http://schemas.microsoft.com/office/drawing/2014/chart" uri="{C3380CC4-5D6E-409C-BE32-E72D297353CC}">
              <c16:uniqueId val="{00000001-6418-49A5-90A8-2DACCC30BDA6}"/>
            </c:ext>
          </c:extLst>
        </c:ser>
        <c:dLbls>
          <c:showLegendKey val="0"/>
          <c:showVal val="0"/>
          <c:showCatName val="0"/>
          <c:showSerName val="0"/>
          <c:showPercent val="0"/>
          <c:showBubbleSize val="0"/>
        </c:dLbls>
        <c:gapWidth val="150"/>
        <c:shape val="box"/>
        <c:axId val="1154798304"/>
        <c:axId val="1154790400"/>
        <c:axId val="0"/>
      </c:bar3DChart>
      <c:catAx>
        <c:axId val="1154798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790400"/>
        <c:crosses val="autoZero"/>
        <c:auto val="1"/>
        <c:lblAlgn val="ctr"/>
        <c:lblOffset val="100"/>
        <c:noMultiLvlLbl val="0"/>
      </c:catAx>
      <c:valAx>
        <c:axId val="1154790400"/>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798304"/>
        <c:crosses val="autoZero"/>
        <c:crossBetween val="between"/>
      </c:valAx>
      <c:spPr>
        <a:noFill/>
        <a:ln>
          <a:noFill/>
        </a:ln>
        <a:effectLst/>
      </c:spPr>
    </c:plotArea>
    <c:legend>
      <c:legendPos val="r"/>
      <c:layout>
        <c:manualLayout>
          <c:xMode val="edge"/>
          <c:yMode val="edge"/>
          <c:x val="0.10230006343273661"/>
          <c:y val="3.7615193934091573E-2"/>
          <c:w val="0.67445559898355689"/>
          <c:h val="9.6065908428113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'Analysis-2'!$I$5</c:f>
              <c:strCache>
                <c:ptCount val="1"/>
                <c:pt idx="0">
                  <c:v>Total Revenue</c:v>
                </c:pt>
              </c:strCache>
            </c:strRef>
          </c:tx>
          <c:spPr>
            <a:ln w="28575" cap="rnd">
              <a:solidFill>
                <a:schemeClr val="accent1"/>
              </a:solidFill>
              <a:round/>
            </a:ln>
            <a:effectLst/>
          </c:spPr>
          <c:marker>
            <c:symbol val="none"/>
          </c:marker>
          <c:dLbls>
            <c:dLbl>
              <c:idx val="0"/>
              <c:tx>
                <c:rich>
                  <a:bodyPr/>
                  <a:lstStyle/>
                  <a:p>
                    <a:fld id="{A85B9AE4-C944-446D-AF6A-FC239ED7B91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F0F7-4E2A-88A8-08E950DDE33D}"/>
                </c:ext>
              </c:extLst>
            </c:dLbl>
            <c:dLbl>
              <c:idx val="1"/>
              <c:tx>
                <c:rich>
                  <a:bodyPr/>
                  <a:lstStyle/>
                  <a:p>
                    <a:fld id="{FA805738-4D3F-45F4-A3E7-CD5833CC405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F0F7-4E2A-88A8-08E950DDE33D}"/>
                </c:ext>
              </c:extLst>
            </c:dLbl>
            <c:dLbl>
              <c:idx val="2"/>
              <c:tx>
                <c:rich>
                  <a:bodyPr/>
                  <a:lstStyle/>
                  <a:p>
                    <a:fld id="{EE16E0C9-2675-4EF2-BA6C-9C85D82FD4B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F0F7-4E2A-88A8-08E950DDE33D}"/>
                </c:ext>
              </c:extLst>
            </c:dLbl>
            <c:dLbl>
              <c:idx val="3"/>
              <c:tx>
                <c:rich>
                  <a:bodyPr/>
                  <a:lstStyle/>
                  <a:p>
                    <a:fld id="{0B62CDB6-860B-45BE-8FD0-79A9A6662C0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F0F7-4E2A-88A8-08E950DDE33D}"/>
                </c:ext>
              </c:extLst>
            </c:dLbl>
            <c:dLbl>
              <c:idx val="4"/>
              <c:tx>
                <c:rich>
                  <a:bodyPr/>
                  <a:lstStyle/>
                  <a:p>
                    <a:fld id="{8AD9FD47-925F-4056-A950-0EF021319A1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0F7-4E2A-88A8-08E950DDE33D}"/>
                </c:ext>
              </c:extLst>
            </c:dLbl>
            <c:dLbl>
              <c:idx val="5"/>
              <c:tx>
                <c:rich>
                  <a:bodyPr/>
                  <a:lstStyle/>
                  <a:p>
                    <a:fld id="{7951EAB9-64AD-42A2-A559-920D7502338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F0F7-4E2A-88A8-08E950DDE33D}"/>
                </c:ext>
              </c:extLst>
            </c:dLbl>
            <c:dLbl>
              <c:idx val="6"/>
              <c:tx>
                <c:rich>
                  <a:bodyPr/>
                  <a:lstStyle/>
                  <a:p>
                    <a:fld id="{E62DC715-66B7-4503-A4EF-5E7E60002BA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F0F7-4E2A-88A8-08E950DDE33D}"/>
                </c:ext>
              </c:extLst>
            </c:dLbl>
            <c:dLbl>
              <c:idx val="7"/>
              <c:tx>
                <c:rich>
                  <a:bodyPr/>
                  <a:lstStyle/>
                  <a:p>
                    <a:fld id="{812929A3-B37B-4B93-AE82-E9927749E9F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0F7-4E2A-88A8-08E950DDE33D}"/>
                </c:ext>
              </c:extLst>
            </c:dLbl>
            <c:dLbl>
              <c:idx val="8"/>
              <c:tx>
                <c:rich>
                  <a:bodyPr/>
                  <a:lstStyle/>
                  <a:p>
                    <a:fld id="{C6581B4E-75A6-4414-9E72-7232280DDF4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0F7-4E2A-88A8-08E950DDE33D}"/>
                </c:ext>
              </c:extLst>
            </c:dLbl>
            <c:dLbl>
              <c:idx val="9"/>
              <c:tx>
                <c:rich>
                  <a:bodyPr/>
                  <a:lstStyle/>
                  <a:p>
                    <a:fld id="{56B391E9-F83A-4102-B672-FF9B125B2CF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F0F7-4E2A-88A8-08E950DDE33D}"/>
                </c:ext>
              </c:extLst>
            </c:dLbl>
            <c:dLbl>
              <c:idx val="10"/>
              <c:tx>
                <c:rich>
                  <a:bodyPr/>
                  <a:lstStyle/>
                  <a:p>
                    <a:fld id="{E3294B27-DFE5-432E-8F80-273DAD37D69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F0F7-4E2A-88A8-08E950DDE33D}"/>
                </c:ext>
              </c:extLst>
            </c:dLbl>
            <c:dLbl>
              <c:idx val="11"/>
              <c:tx>
                <c:rich>
                  <a:bodyPr/>
                  <a:lstStyle/>
                  <a:p>
                    <a:fld id="{3B8FC5E1-7AB9-4BD3-A6DC-391FC967D5A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F0F7-4E2A-88A8-08E950DDE3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'Analysis-2'!$H$6:$H$17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'Analysis-2'!$I$6:$I$17</c:f>
              <c:numCache>
                <c:formatCode>[&gt;=1000000]"$"0,,"M";[&gt;1000]"$"0,"K";0</c:formatCode>
                <c:ptCount val="12"/>
                <c:pt idx="0">
                  <c:v>444162.52000000014</c:v>
                </c:pt>
                <c:pt idx="1">
                  <c:v>423741.52</c:v>
                </c:pt>
                <c:pt idx="2">
                  <c:v>468344.26999999949</c:v>
                </c:pt>
                <c:pt idx="3">
                  <c:v>448652.76000000007</c:v>
                </c:pt>
                <c:pt idx="4">
                  <c:v>480720.64000000001</c:v>
                </c:pt>
                <c:pt idx="5">
                  <c:v>455501.13999999996</c:v>
                </c:pt>
                <c:pt idx="6">
                  <c:v>433725.86000000057</c:v>
                </c:pt>
                <c:pt idx="7">
                  <c:v>485766.24999999977</c:v>
                </c:pt>
                <c:pt idx="8">
                  <c:v>443447.43000000028</c:v>
                </c:pt>
                <c:pt idx="9">
                  <c:v>458984.37999999971</c:v>
                </c:pt>
                <c:pt idx="10">
                  <c:v>462537.40999999939</c:v>
                </c:pt>
                <c:pt idx="11">
                  <c:v>441225.2900000001</c:v>
                </c:pt>
              </c:numCache>
            </c:numRef>
          </c:val>
          <c:smooth val="1"/>
          <c:extLst>
            <c:ext xmlns:c15="http://schemas.microsoft.com/office/drawing/2012/chart" uri="{02D57815-91ED-43cb-92C2-25804820EDAC}">
              <c15:datalabelsRange>
                <c15:f>'Analysis-2'!$K$6:$K$17</c15:f>
                <c15:dlblRangeCache>
                  <c:ptCount val="12"/>
                  <c:pt idx="4">
                    <c:v>$481K</c:v>
                  </c:pt>
                  <c:pt idx="7">
                    <c:v>$486K</c:v>
                  </c:pt>
                </c15:dlblRangeCache>
              </c15:datalabelsRange>
            </c:ext>
            <c:ext xmlns:c16="http://schemas.microsoft.com/office/drawing/2014/chart" uri="{C3380CC4-5D6E-409C-BE32-E72D297353CC}">
              <c16:uniqueId val="{00000000-F0F7-4E2A-88A8-08E950DDE33D}"/>
            </c:ext>
          </c:extLst>
        </c:ser>
        <c:ser>
          <c:idx val="1"/>
          <c:order val="1"/>
          <c:tx>
            <c:strRef>
              <c:f>'Analysis-2'!$J$5</c:f>
              <c:strCache>
                <c:ptCount val="1"/>
                <c:pt idx="0">
                  <c:v>Total Target</c:v>
                </c:pt>
              </c:strCache>
            </c:strRef>
          </c:tx>
          <c:spPr>
            <a:ln w="28575" cap="rnd">
              <a:solidFill>
                <a:schemeClr val="accent2"/>
              </a:solidFill>
              <a:round/>
            </a:ln>
            <a:effectLst/>
          </c:spPr>
          <c:marker>
            <c:symbol val="none"/>
          </c:marker>
          <c:cat>
            <c:strRef>
              <c:f>'Analysis-2'!$H$6:$H$17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'Analysis-2'!$J$6:$J$17</c:f>
              <c:numCache>
                <c:formatCode>[&gt;=1000000]"$"0,,"M";[&gt;1000]"$"0,"K";0</c:formatCode>
                <c:ptCount val="12"/>
                <c:pt idx="0">
                  <c:v>439042</c:v>
                </c:pt>
                <c:pt idx="1">
                  <c:v>431279</c:v>
                </c:pt>
                <c:pt idx="2">
                  <c:v>445591</c:v>
                </c:pt>
                <c:pt idx="3">
                  <c:v>453071</c:v>
                </c:pt>
                <c:pt idx="4">
                  <c:v>444167</c:v>
                </c:pt>
                <c:pt idx="5">
                  <c:v>421979</c:v>
                </c:pt>
                <c:pt idx="6">
                  <c:v>456718</c:v>
                </c:pt>
                <c:pt idx="7">
                  <c:v>431727</c:v>
                </c:pt>
                <c:pt idx="8">
                  <c:v>446912</c:v>
                </c:pt>
                <c:pt idx="9">
                  <c:v>414360</c:v>
                </c:pt>
                <c:pt idx="10">
                  <c:v>413371</c:v>
                </c:pt>
                <c:pt idx="11">
                  <c:v>456773</c:v>
                </c:pt>
              </c:numCache>
            </c:numRef>
          </c:val>
          <c:smooth val="1"/>
          <c:extLst>
            <c:ext xmlns:c16="http://schemas.microsoft.com/office/drawing/2014/chart" uri="{C3380CC4-5D6E-409C-BE32-E72D297353CC}">
              <c16:uniqueId val="{00000001-F0F7-4E2A-88A8-08E950DDE33D}"/>
            </c:ext>
          </c:extLst>
        </c:ser>
        <c:dLbls>
          <c:showLegendKey val="0"/>
          <c:showVal val="0"/>
          <c:showCatName val="0"/>
          <c:showSerName val="0"/>
          <c:showPercent val="0"/>
          <c:showBubbleSize val="0"/>
        </c:dLbls>
        <c:smooth val="0"/>
        <c:axId val="1843897376"/>
        <c:axId val="1843894880"/>
      </c:lineChart>
      <c:catAx>
        <c:axId val="184389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894880"/>
        <c:crosses val="autoZero"/>
        <c:auto val="1"/>
        <c:lblAlgn val="ctr"/>
        <c:lblOffset val="100"/>
        <c:noMultiLvlLbl val="0"/>
      </c:catAx>
      <c:valAx>
        <c:axId val="1843894880"/>
        <c:scaling>
          <c:orientation val="minMax"/>
        </c:scaling>
        <c:delete val="0"/>
        <c:axPos val="l"/>
        <c:numFmt formatCode="[&gt;=1000000]&quot;$&quot;0,,&quot;M&quot;;[&gt;1000]&quot;$&quot;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897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1198501872659173E-2"/>
          <c:y val="8.1936685288640593E-2"/>
          <c:w val="0.91760299625468167"/>
          <c:h val="0.74526430006305078"/>
        </c:manualLayout>
      </c:layout>
      <c:barChart>
        <c:barDir val="col"/>
        <c:grouping val="clustered"/>
        <c:varyColors val="0"/>
        <c:ser>
          <c:idx val="0"/>
          <c:order val="0"/>
          <c:tx>
            <c:strRef>
              <c:f>'Analysis-3'!$I$30</c:f>
              <c:strCache>
                <c:ptCount val="1"/>
                <c:pt idx="0">
                  <c:v>Profit Margin</c:v>
                </c:pt>
              </c:strCache>
            </c:strRef>
          </c:tx>
          <c:spPr>
            <a:solidFill>
              <a:srgbClr val="1F8CB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'Analysis-3'!$H$31:$H$35</c:f>
              <c:strCache>
                <c:ptCount val="5"/>
                <c:pt idx="0">
                  <c:v>Washington</c:v>
                </c:pt>
                <c:pt idx="1">
                  <c:v>California</c:v>
                </c:pt>
                <c:pt idx="2">
                  <c:v>Michigan</c:v>
                </c:pt>
                <c:pt idx="3">
                  <c:v>Virginia</c:v>
                </c:pt>
                <c:pt idx="4">
                  <c:v>Missouri</c:v>
                </c:pt>
              </c:strCache>
            </c:strRef>
          </c:cat>
          <c:val>
            <c:numRef>
              <c:f>'Analysis-3'!$I$31:$I$35</c:f>
              <c:numCache>
                <c:formatCode>\$#,##0.00;\(\$#,##0.00\);\$#,##0.00</c:formatCode>
                <c:ptCount val="5"/>
                <c:pt idx="0">
                  <c:v>134907.56</c:v>
                </c:pt>
                <c:pt idx="1">
                  <c:v>132555.79000000024</c:v>
                </c:pt>
                <c:pt idx="2">
                  <c:v>132061.01999999973</c:v>
                </c:pt>
                <c:pt idx="3">
                  <c:v>131335.97000000015</c:v>
                </c:pt>
                <c:pt idx="4">
                  <c:v>128176.22000000032</c:v>
                </c:pt>
              </c:numCache>
            </c:numRef>
          </c:val>
          <c:extLst>
            <c:ext xmlns:c16="http://schemas.microsoft.com/office/drawing/2014/chart" uri="{C3380CC4-5D6E-409C-BE32-E72D297353CC}">
              <c16:uniqueId val="{00000000-2C23-4282-8CFF-7D6A4E8C3CC6}"/>
            </c:ext>
          </c:extLst>
        </c:ser>
        <c:dLbls>
          <c:showLegendKey val="0"/>
          <c:showVal val="0"/>
          <c:showCatName val="0"/>
          <c:showSerName val="0"/>
          <c:showPercent val="0"/>
          <c:showBubbleSize val="0"/>
        </c:dLbls>
        <c:gapWidth val="84"/>
        <c:overlap val="-27"/>
        <c:axId val="1473646639"/>
        <c:axId val="1473652463"/>
      </c:barChart>
      <c:catAx>
        <c:axId val="147364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652463"/>
        <c:crosses val="autoZero"/>
        <c:auto val="1"/>
        <c:lblAlgn val="ctr"/>
        <c:lblOffset val="100"/>
        <c:noMultiLvlLbl val="0"/>
      </c:catAx>
      <c:valAx>
        <c:axId val="1473652463"/>
        <c:scaling>
          <c:orientation val="minMax"/>
        </c:scaling>
        <c:delete val="1"/>
        <c:axPos val="l"/>
        <c:numFmt formatCode="\$#,##0.00;\(\$#,##0.00\);\$#,##0.00" sourceLinked="1"/>
        <c:majorTickMark val="none"/>
        <c:minorTickMark val="none"/>
        <c:tickLblPos val="nextTo"/>
        <c:crossAx val="147364663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[Dashboard.xlsx]Analysis-3!CustomersAge</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'Analysis-3'!$Q$29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'Analysis-3'!$P$30:$P$35</c:f>
              <c:strCache>
                <c:ptCount val="5"/>
                <c:pt idx="0">
                  <c:v>0-20</c:v>
                </c:pt>
                <c:pt idx="1">
                  <c:v>21-30</c:v>
                </c:pt>
                <c:pt idx="2">
                  <c:v>31-40</c:v>
                </c:pt>
                <c:pt idx="3">
                  <c:v>41-50</c:v>
                </c:pt>
                <c:pt idx="4">
                  <c:v>51 +</c:v>
                </c:pt>
              </c:strCache>
            </c:strRef>
          </c:cat>
          <c:val>
            <c:numRef>
              <c:f>'Analysis-3'!$Q$30:$Q$35</c:f>
              <c:numCache>
                <c:formatCode>[&gt;=1000000]"$"0.0,,"M";[&gt;1000]"$"0.0,"K";0</c:formatCode>
                <c:ptCount val="5"/>
                <c:pt idx="0">
                  <c:v>9887.5399999999936</c:v>
                </c:pt>
                <c:pt idx="1">
                  <c:v>34365.370000000032</c:v>
                </c:pt>
                <c:pt idx="2">
                  <c:v>33697.039999999979</c:v>
                </c:pt>
                <c:pt idx="3">
                  <c:v>39423.830000000031</c:v>
                </c:pt>
                <c:pt idx="4">
                  <c:v>72711.039999999921</c:v>
                </c:pt>
              </c:numCache>
            </c:numRef>
          </c:val>
          <c:extLst>
            <c:ext xmlns:c16="http://schemas.microsoft.com/office/drawing/2014/chart" uri="{C3380CC4-5D6E-409C-BE32-E72D297353CC}">
              <c16:uniqueId val="{00000000-6019-49C4-A72E-45D3409F68F4}"/>
            </c:ext>
          </c:extLst>
        </c:ser>
        <c:dLbls>
          <c:dLblPos val="outEnd"/>
          <c:showLegendKey val="0"/>
          <c:showVal val="1"/>
          <c:showCatName val="0"/>
          <c:showSerName val="0"/>
          <c:showPercent val="0"/>
          <c:showBubbleSize val="0"/>
        </c:dLbls>
        <c:gapWidth val="84"/>
        <c:overlap val="-27"/>
        <c:axId val="2106916175"/>
        <c:axId val="2106934895"/>
      </c:barChart>
      <c:catAx>
        <c:axId val="210691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934895"/>
        <c:crosses val="autoZero"/>
        <c:auto val="1"/>
        <c:lblAlgn val="ctr"/>
        <c:lblOffset val="100"/>
        <c:noMultiLvlLbl val="0"/>
      </c:catAx>
      <c:valAx>
        <c:axId val="2106934895"/>
        <c:scaling>
          <c:orientation val="minMax"/>
        </c:scaling>
        <c:delete val="1"/>
        <c:axPos val="l"/>
        <c:numFmt formatCode="[&gt;=1000000]&quot;$&quot;0.0,,&quot;M&quot;;[&gt;1000]&quot;$&quot;0.0,&quot;K&quot;;0" sourceLinked="1"/>
        <c:majorTickMark val="none"/>
        <c:minorTickMark val="none"/>
        <c:tickLblPos val="nextTo"/>
        <c:crossAx val="210691617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777777777777776E-2"/>
          <c:y val="0.18684373408547811"/>
          <c:w val="0.96912952891197879"/>
          <c:h val="0.66223841422807239"/>
        </c:manualLayout>
      </c:layout>
      <c:areaChart>
        <c:grouping val="stacked"/>
        <c:varyColors val="0"/>
        <c:ser>
          <c:idx val="1"/>
          <c:order val="1"/>
          <c:tx>
            <c:strRef>
              <c:f>'Analysis-3'!$AG$29</c:f>
              <c:strCache>
                <c:ptCount val="1"/>
                <c:pt idx="0">
                  <c:v>New Chart</c:v>
                </c:pt>
              </c:strCache>
            </c:strRef>
          </c:tx>
          <c:spPr>
            <a:gradFill flip="none" rotWithShape="1">
              <a:gsLst>
                <a:gs pos="0">
                  <a:schemeClr val="accent6">
                    <a:lumMod val="0"/>
                    <a:lumOff val="100000"/>
                  </a:schemeClr>
                </a:gs>
                <a:gs pos="65000">
                  <a:srgbClr val="1F8CB3">
                    <a:alpha val="50000"/>
                  </a:srgbClr>
                </a:gs>
                <a:gs pos="100000">
                  <a:srgbClr val="1F8CB3">
                    <a:alpha val="15000"/>
                  </a:srgbClr>
                </a:gs>
              </a:gsLst>
              <a:path path="circle">
                <a:fillToRect l="50000" t="-80000" r="50000" b="180000"/>
              </a:path>
              <a:tileRect/>
            </a:gradFill>
            <a:ln cap="flat">
              <a:noFill/>
              <a:round/>
            </a:ln>
            <a:effectLst/>
          </c:spPr>
          <c:val>
            <c:numRef>
              <c:f>'Analysis-3'!$AG$30:$AG$41</c:f>
              <c:numCache>
                <c:formatCode>[&gt;=1000000]"$"0.0,,"M";[&gt;1000]"$"0.0,"K";0</c:formatCode>
                <c:ptCount val="12"/>
                <c:pt idx="0">
                  <c:v>177715.38000000006</c:v>
                </c:pt>
                <c:pt idx="1">
                  <c:v>177756.57000000004</c:v>
                </c:pt>
                <c:pt idx="2">
                  <c:v>204515.86999999941</c:v>
                </c:pt>
                <c:pt idx="3">
                  <c:v>192977.04000000018</c:v>
                </c:pt>
                <c:pt idx="4">
                  <c:v>205642.85000000033</c:v>
                </c:pt>
                <c:pt idx="5">
                  <c:v>195489.95000000042</c:v>
                </c:pt>
                <c:pt idx="6">
                  <c:v>182737.19000000047</c:v>
                </c:pt>
                <c:pt idx="7">
                  <c:v>208599.36000000034</c:v>
                </c:pt>
                <c:pt idx="8">
                  <c:v>190084.82000000039</c:v>
                </c:pt>
                <c:pt idx="9">
                  <c:v>190384.21999999968</c:v>
                </c:pt>
                <c:pt idx="10">
                  <c:v>192253.24999999942</c:v>
                </c:pt>
                <c:pt idx="11">
                  <c:v>179355.56000000011</c:v>
                </c:pt>
              </c:numCache>
            </c:numRef>
          </c:val>
          <c:extLst>
            <c:ext xmlns:c16="http://schemas.microsoft.com/office/drawing/2014/chart" uri="{C3380CC4-5D6E-409C-BE32-E72D297353CC}">
              <c16:uniqueId val="{00000000-2687-4C25-BC1F-FB4609CF480C}"/>
            </c:ext>
          </c:extLst>
        </c:ser>
        <c:dLbls>
          <c:showLegendKey val="0"/>
          <c:showVal val="0"/>
          <c:showCatName val="0"/>
          <c:showSerName val="0"/>
          <c:showPercent val="0"/>
          <c:showBubbleSize val="0"/>
        </c:dLbls>
        <c:axId val="443507871"/>
        <c:axId val="443514111"/>
      </c:areaChart>
      <c:lineChart>
        <c:grouping val="standard"/>
        <c:varyColors val="0"/>
        <c:ser>
          <c:idx val="0"/>
          <c:order val="0"/>
          <c:tx>
            <c:strRef>
              <c:f>'Analysis-3'!$AF$29</c:f>
              <c:strCache>
                <c:ptCount val="1"/>
                <c:pt idx="0">
                  <c:v>Profit Margin</c:v>
                </c:pt>
              </c:strCache>
            </c:strRef>
          </c:tx>
          <c:spPr>
            <a:ln w="28575" cap="rnd">
              <a:solidFill>
                <a:schemeClr val="accent1"/>
              </a:solidFill>
              <a:round/>
            </a:ln>
            <a:effectLst/>
          </c:spPr>
          <c:marker>
            <c:symbol val="circle"/>
            <c:size val="5"/>
            <c:spPr>
              <a:solidFill>
                <a:schemeClr val="accent1"/>
              </a:solidFill>
              <a:ln w="9525">
                <a:solidFill>
                  <a:srgbClr val="1F95B3">
                    <a:alpha val="99000"/>
                  </a:srgbClr>
                </a:solidFill>
              </a:ln>
              <a:effectLst/>
            </c:spPr>
          </c:marker>
          <c:dLbls>
            <c:dLbl>
              <c:idx val="0"/>
              <c:layout/>
              <c:tx>
                <c:rich>
                  <a:bodyPr/>
                  <a:lstStyle/>
                  <a:p>
                    <a:fld id="{6DA82B59-16CD-40F5-926E-437A269AE0B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2687-4C25-BC1F-FB4609CF480C}"/>
                </c:ext>
              </c:extLst>
            </c:dLbl>
            <c:dLbl>
              <c:idx val="1"/>
              <c:layout/>
              <c:tx>
                <c:rich>
                  <a:bodyPr/>
                  <a:lstStyle/>
                  <a:p>
                    <a:fld id="{0ED9341D-C49A-4BAF-9EE9-32C4C6AD6D0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2687-4C25-BC1F-FB4609CF480C}"/>
                </c:ext>
              </c:extLst>
            </c:dLbl>
            <c:dLbl>
              <c:idx val="2"/>
              <c:layout/>
              <c:tx>
                <c:rich>
                  <a:bodyPr/>
                  <a:lstStyle/>
                  <a:p>
                    <a:fld id="{30BD7C03-54A5-4CD7-8FD7-28FC864AC20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2687-4C25-BC1F-FB4609CF480C}"/>
                </c:ext>
              </c:extLst>
            </c:dLbl>
            <c:dLbl>
              <c:idx val="3"/>
              <c:layout/>
              <c:tx>
                <c:rich>
                  <a:bodyPr/>
                  <a:lstStyle/>
                  <a:p>
                    <a:fld id="{82DBEB85-D089-433C-8E42-C34A106BAD3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2687-4C25-BC1F-FB4609CF480C}"/>
                </c:ext>
              </c:extLst>
            </c:dLbl>
            <c:dLbl>
              <c:idx val="4"/>
              <c:layout/>
              <c:tx>
                <c:rich>
                  <a:bodyPr/>
                  <a:lstStyle/>
                  <a:p>
                    <a:fld id="{DACA7906-6471-402C-95AA-C5D8CCD0A09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2687-4C25-BC1F-FB4609CF480C}"/>
                </c:ext>
              </c:extLst>
            </c:dLbl>
            <c:dLbl>
              <c:idx val="5"/>
              <c:layout/>
              <c:tx>
                <c:rich>
                  <a:bodyPr/>
                  <a:lstStyle/>
                  <a:p>
                    <a:fld id="{99E2471F-0559-4509-820B-EE1E4A14595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2687-4C25-BC1F-FB4609CF480C}"/>
                </c:ext>
              </c:extLst>
            </c:dLbl>
            <c:dLbl>
              <c:idx val="6"/>
              <c:layout/>
              <c:tx>
                <c:rich>
                  <a:bodyPr/>
                  <a:lstStyle/>
                  <a:p>
                    <a:fld id="{6CC238A7-E0A5-441E-BB47-599E76AF10A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2687-4C25-BC1F-FB4609CF480C}"/>
                </c:ext>
              </c:extLst>
            </c:dLbl>
            <c:dLbl>
              <c:idx val="7"/>
              <c:layout/>
              <c:tx>
                <c:rich>
                  <a:bodyPr/>
                  <a:lstStyle/>
                  <a:p>
                    <a:fld id="{64325A94-289C-42D8-9DD0-F8E5CB59119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2687-4C25-BC1F-FB4609CF480C}"/>
                </c:ext>
              </c:extLst>
            </c:dLbl>
            <c:dLbl>
              <c:idx val="8"/>
              <c:layout/>
              <c:tx>
                <c:rich>
                  <a:bodyPr/>
                  <a:lstStyle/>
                  <a:p>
                    <a:fld id="{7250CF45-304B-4B78-9463-917968B8264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2687-4C25-BC1F-FB4609CF480C}"/>
                </c:ext>
              </c:extLst>
            </c:dLbl>
            <c:dLbl>
              <c:idx val="9"/>
              <c:layout/>
              <c:tx>
                <c:rich>
                  <a:bodyPr/>
                  <a:lstStyle/>
                  <a:p>
                    <a:fld id="{2F9B8AF8-D679-480C-BEF5-55C78CA09A1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2687-4C25-BC1F-FB4609CF480C}"/>
                </c:ext>
              </c:extLst>
            </c:dLbl>
            <c:dLbl>
              <c:idx val="10"/>
              <c:layout/>
              <c:tx>
                <c:rich>
                  <a:bodyPr/>
                  <a:lstStyle/>
                  <a:p>
                    <a:fld id="{12FCE6D4-C3F4-4851-9971-9D7FD8DBFE7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2687-4C25-BC1F-FB4609CF480C}"/>
                </c:ext>
              </c:extLst>
            </c:dLbl>
            <c:dLbl>
              <c:idx val="11"/>
              <c:layout/>
              <c:tx>
                <c:rich>
                  <a:bodyPr/>
                  <a:lstStyle/>
                  <a:p>
                    <a:fld id="{6653BDB9-8422-46BE-B38E-C2850B07FD6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2687-4C25-BC1F-FB4609CF48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cat>
            <c:strRef>
              <c:f>'Analysis-3'!$AE$30:$AE$41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'Analysis-3'!$AF$30:$AF$41</c:f>
              <c:numCache>
                <c:formatCode>[&gt;=1000000]"$"0.0,,"M";[&gt;1000]"$"0.0,"K";0</c:formatCode>
                <c:ptCount val="12"/>
                <c:pt idx="0">
                  <c:v>177715.38000000006</c:v>
                </c:pt>
                <c:pt idx="1">
                  <c:v>177756.57000000004</c:v>
                </c:pt>
                <c:pt idx="2">
                  <c:v>204515.86999999941</c:v>
                </c:pt>
                <c:pt idx="3">
                  <c:v>192977.04000000018</c:v>
                </c:pt>
                <c:pt idx="4">
                  <c:v>205642.85000000033</c:v>
                </c:pt>
                <c:pt idx="5">
                  <c:v>195489.95000000042</c:v>
                </c:pt>
                <c:pt idx="6">
                  <c:v>182737.19000000047</c:v>
                </c:pt>
                <c:pt idx="7">
                  <c:v>208599.36000000034</c:v>
                </c:pt>
                <c:pt idx="8">
                  <c:v>190084.82000000039</c:v>
                </c:pt>
                <c:pt idx="9">
                  <c:v>190384.21999999968</c:v>
                </c:pt>
                <c:pt idx="10">
                  <c:v>192253.24999999942</c:v>
                </c:pt>
                <c:pt idx="11">
                  <c:v>179355.56000000011</c:v>
                </c:pt>
              </c:numCache>
            </c:numRef>
          </c:val>
          <c:smooth val="1"/>
          <c:extLst>
            <c:ext xmlns:c15="http://schemas.microsoft.com/office/drawing/2012/chart" uri="{02D57815-91ED-43cb-92C2-25804820EDAC}">
              <c15:datalabelsRange>
                <c15:f>'Analysis-3'!$Y$30:$Y$41</c15:f>
                <c15:dlblRangeCache>
                  <c:ptCount val="12"/>
                  <c:pt idx="1">
                    <c:v>+0.0%</c:v>
                  </c:pt>
                  <c:pt idx="2">
                    <c:v>+15.1%</c:v>
                  </c:pt>
                  <c:pt idx="3">
                    <c:v>-5.6%</c:v>
                  </c:pt>
                  <c:pt idx="4">
                    <c:v>+6.6%</c:v>
                  </c:pt>
                  <c:pt idx="5">
                    <c:v>-4.9%</c:v>
                  </c:pt>
                  <c:pt idx="6">
                    <c:v>-6.5%</c:v>
                  </c:pt>
                  <c:pt idx="7">
                    <c:v>+14.2%</c:v>
                  </c:pt>
                  <c:pt idx="8">
                    <c:v>-8.9%</c:v>
                  </c:pt>
                  <c:pt idx="9">
                    <c:v>+0.2%</c:v>
                  </c:pt>
                  <c:pt idx="10">
                    <c:v>+1.0%</c:v>
                  </c:pt>
                  <c:pt idx="11">
                    <c:v>-6.7%</c:v>
                  </c:pt>
                </c15:dlblRangeCache>
              </c15:datalabelsRange>
            </c:ext>
            <c:ext xmlns:c16="http://schemas.microsoft.com/office/drawing/2014/chart" uri="{C3380CC4-5D6E-409C-BE32-E72D297353CC}">
              <c16:uniqueId val="{0000000D-2687-4C25-BC1F-FB4609CF480C}"/>
            </c:ext>
          </c:extLst>
        </c:ser>
        <c:dLbls>
          <c:showLegendKey val="0"/>
          <c:showVal val="0"/>
          <c:showCatName val="0"/>
          <c:showSerName val="0"/>
          <c:showPercent val="0"/>
          <c:showBubbleSize val="0"/>
        </c:dLbls>
        <c:marker val="1"/>
        <c:smooth val="0"/>
        <c:axId val="443507871"/>
        <c:axId val="443514111"/>
      </c:lineChart>
      <c:catAx>
        <c:axId val="44350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514111"/>
        <c:crosses val="autoZero"/>
        <c:auto val="1"/>
        <c:lblAlgn val="ctr"/>
        <c:lblOffset val="100"/>
        <c:noMultiLvlLbl val="0"/>
      </c:catAx>
      <c:valAx>
        <c:axId val="443514111"/>
        <c:scaling>
          <c:orientation val="minMax"/>
        </c:scaling>
        <c:delete val="1"/>
        <c:axPos val="l"/>
        <c:numFmt formatCode="[&gt;=1000000]&quot;$&quot;0.0,,&quot;M&quot;;[&gt;1000]&quot;$&quot;0.0,&quot;K&quot;;0" sourceLinked="1"/>
        <c:majorTickMark val="none"/>
        <c:minorTickMark val="none"/>
        <c:tickLblPos val="nextTo"/>
        <c:crossAx val="44350787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[Dashboard.xlsx]Analysis-3!Productweekdays</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F8CB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'Analysis-3'!$AK$29</c:f>
              <c:strCache>
                <c:ptCount val="1"/>
                <c:pt idx="0">
                  <c:v>Total</c:v>
                </c:pt>
              </c:strCache>
            </c:strRef>
          </c:tx>
          <c:spPr>
            <a:solidFill>
              <a:srgbClr val="1F8CB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'Analysis-3'!$AJ$30:$AJ$36</c:f>
              <c:strCache>
                <c:ptCount val="7"/>
                <c:pt idx="0">
                  <c:v>Sun</c:v>
                </c:pt>
                <c:pt idx="1">
                  <c:v>Mon</c:v>
                </c:pt>
                <c:pt idx="2">
                  <c:v>Tue</c:v>
                </c:pt>
                <c:pt idx="3">
                  <c:v>Wed</c:v>
                </c:pt>
                <c:pt idx="4">
                  <c:v>Thu</c:v>
                </c:pt>
                <c:pt idx="5">
                  <c:v>Fri</c:v>
                </c:pt>
                <c:pt idx="6">
                  <c:v>Sat</c:v>
                </c:pt>
              </c:strCache>
            </c:strRef>
          </c:cat>
          <c:val>
            <c:numRef>
              <c:f>'Analysis-3'!$AK$30:$AK$36</c:f>
              <c:numCache>
                <c:formatCode>[&gt;=1000000]"$"0.0,,"M";[&gt;1000]"$"0.0,"K";0</c:formatCode>
                <c:ptCount val="7"/>
                <c:pt idx="0">
                  <c:v>19890.759999999944</c:v>
                </c:pt>
                <c:pt idx="1">
                  <c:v>26970.45999999997</c:v>
                </c:pt>
                <c:pt idx="2">
                  <c:v>22833.169999999991</c:v>
                </c:pt>
                <c:pt idx="3">
                  <c:v>31225.71</c:v>
                </c:pt>
                <c:pt idx="4">
                  <c:v>25038.409999999996</c:v>
                </c:pt>
                <c:pt idx="5">
                  <c:v>29511.910000000003</c:v>
                </c:pt>
                <c:pt idx="6">
                  <c:v>34614.400000000009</c:v>
                </c:pt>
              </c:numCache>
            </c:numRef>
          </c:val>
          <c:extLst>
            <c:ext xmlns:c16="http://schemas.microsoft.com/office/drawing/2014/chart" uri="{C3380CC4-5D6E-409C-BE32-E72D297353CC}">
              <c16:uniqueId val="{00000000-C910-4538-B73B-63D13C80A91E}"/>
            </c:ext>
          </c:extLst>
        </c:ser>
        <c:dLbls>
          <c:dLblPos val="outEnd"/>
          <c:showLegendKey val="0"/>
          <c:showVal val="1"/>
          <c:showCatName val="0"/>
          <c:showSerName val="0"/>
          <c:showPercent val="0"/>
          <c:showBubbleSize val="0"/>
        </c:dLbls>
        <c:gapWidth val="85"/>
        <c:overlap val="-27"/>
        <c:axId val="442903839"/>
        <c:axId val="442906751"/>
      </c:barChart>
      <c:catAx>
        <c:axId val="44290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906751"/>
        <c:crosses val="autoZero"/>
        <c:auto val="1"/>
        <c:lblAlgn val="ctr"/>
        <c:lblOffset val="100"/>
        <c:noMultiLvlLbl val="0"/>
      </c:catAx>
      <c:valAx>
        <c:axId val="442906751"/>
        <c:scaling>
          <c:orientation val="minMax"/>
        </c:scaling>
        <c:delete val="1"/>
        <c:axPos val="l"/>
        <c:numFmt formatCode="[&gt;=1000000]&quot;$&quot;0.0,,&quot;M&quot;;[&gt;1000]&quot;$&quot;0.0,&quot;K&quot;;0" sourceLinked="1"/>
        <c:majorTickMark val="none"/>
        <c:minorTickMark val="none"/>
        <c:tickLblPos val="nextTo"/>
        <c:crossAx val="4429038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'Analysis-3'!$AU$38</c:f>
              <c:strCache>
                <c:ptCount val="1"/>
                <c:pt idx="0">
                  <c:v>Profit Margin</c:v>
                </c:pt>
              </c:strCache>
            </c:strRef>
          </c:tx>
          <c:spPr>
            <a:solidFill>
              <a:srgbClr val="9FE6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'Analysis-3'!$AT$39:$AT$43</c:f>
              <c:strCache>
                <c:ptCount val="5"/>
                <c:pt idx="0">
                  <c:v>Begin Brew</c:v>
                </c:pt>
                <c:pt idx="1">
                  <c:v>Two Breeze</c:v>
                </c:pt>
                <c:pt idx="2">
                  <c:v>Common Splash</c:v>
                </c:pt>
                <c:pt idx="3">
                  <c:v>Return Mist</c:v>
                </c:pt>
                <c:pt idx="4">
                  <c:v>Method Mist</c:v>
                </c:pt>
              </c:strCache>
            </c:strRef>
          </c:cat>
          <c:val>
            <c:numRef>
              <c:f>'Analysis-3'!$AU$39:$AU$43</c:f>
              <c:numCache>
                <c:formatCode>[&gt;=1000000]"$"0.0,,"M";[&gt;1000]"$"0.0,"K";0</c:formatCode>
                <c:ptCount val="5"/>
                <c:pt idx="0">
                  <c:v>8434.6499999999978</c:v>
                </c:pt>
                <c:pt idx="1">
                  <c:v>8215.99</c:v>
                </c:pt>
                <c:pt idx="2">
                  <c:v>7339.41</c:v>
                </c:pt>
                <c:pt idx="3">
                  <c:v>6940.9600000000009</c:v>
                </c:pt>
                <c:pt idx="4">
                  <c:v>6671.8200000000006</c:v>
                </c:pt>
              </c:numCache>
            </c:numRef>
          </c:val>
          <c:extLst>
            <c:ext xmlns:c16="http://schemas.microsoft.com/office/drawing/2014/chart" uri="{C3380CC4-5D6E-409C-BE32-E72D297353CC}">
              <c16:uniqueId val="{00000000-FD9D-4D2D-9F10-7C50CC6964D6}"/>
            </c:ext>
          </c:extLst>
        </c:ser>
        <c:dLbls>
          <c:dLblPos val="outEnd"/>
          <c:showLegendKey val="0"/>
          <c:showVal val="1"/>
          <c:showCatName val="0"/>
          <c:showSerName val="0"/>
          <c:showPercent val="0"/>
          <c:showBubbleSize val="0"/>
        </c:dLbls>
        <c:gapWidth val="34"/>
        <c:axId val="446007103"/>
        <c:axId val="446004607"/>
      </c:barChart>
      <c:catAx>
        <c:axId val="4460071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446004607"/>
        <c:crosses val="autoZero"/>
        <c:auto val="1"/>
        <c:lblAlgn val="ctr"/>
        <c:lblOffset val="100"/>
        <c:noMultiLvlLbl val="0"/>
      </c:catAx>
      <c:valAx>
        <c:axId val="446004607"/>
        <c:scaling>
          <c:orientation val="minMax"/>
        </c:scaling>
        <c:delete val="0"/>
        <c:axPos val="b"/>
        <c:numFmt formatCode="[&gt;=1000000]&quot;$&quot;0.0,,&quot;M&quot;;[&gt;1000]&quot;$&quot;0.0,&quot;K&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00710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[Dashboard.xlsx]Analysis-3!PivotTable20</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9FE6FF"/>
          </a:solidFill>
          <a:ln>
            <a:noFill/>
          </a:ln>
          <a:effectLst/>
        </c:spPr>
        <c:marker>
          <c:symbol val="none"/>
        </c:marker>
        <c:dLbl>
          <c:idx val="0"/>
          <c:layout/>
          <c:spPr>
            <a:solidFill>
              <a:srgbClr val="00539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1193449438996134E-5"/>
          <c:y val="9.6190802236676934E-2"/>
          <c:w val="0.56845469798722481"/>
          <c:h val="0.85333333333333339"/>
        </c:manualLayout>
      </c:layout>
      <c:barChart>
        <c:barDir val="bar"/>
        <c:grouping val="clustered"/>
        <c:varyColors val="0"/>
        <c:ser>
          <c:idx val="0"/>
          <c:order val="0"/>
          <c:tx>
            <c:strRef>
              <c:f>'Analysis-3'!$BE$29</c:f>
              <c:strCache>
                <c:ptCount val="1"/>
                <c:pt idx="0">
                  <c:v>Total</c:v>
                </c:pt>
              </c:strCache>
            </c:strRef>
          </c:tx>
          <c:spPr>
            <a:solidFill>
              <a:srgbClr val="9FE6FF"/>
            </a:solidFill>
            <a:ln>
              <a:noFill/>
            </a:ln>
            <a:effectLst/>
          </c:spPr>
          <c:invertIfNegative val="0"/>
          <c:dLbls>
            <c:spPr>
              <a:solidFill>
                <a:srgbClr val="00539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'Analysis-3'!$BD$30:$BD$38</c:f>
              <c:strCache>
                <c:ptCount val="8"/>
                <c:pt idx="0">
                  <c:v>Soft Drink</c:v>
                </c:pt>
                <c:pt idx="1">
                  <c:v>Sports Drink</c:v>
                </c:pt>
                <c:pt idx="2">
                  <c:v>Tea</c:v>
                </c:pt>
                <c:pt idx="3">
                  <c:v>Water</c:v>
                </c:pt>
                <c:pt idx="4">
                  <c:v>Energy Drink</c:v>
                </c:pt>
                <c:pt idx="5">
                  <c:v>Coffee</c:v>
                </c:pt>
                <c:pt idx="6">
                  <c:v>Alcoholic Beverage</c:v>
                </c:pt>
                <c:pt idx="7">
                  <c:v>Juice</c:v>
                </c:pt>
              </c:strCache>
            </c:strRef>
          </c:cat>
          <c:val>
            <c:numRef>
              <c:f>'Analysis-3'!$BE$30:$BE$38</c:f>
              <c:numCache>
                <c:formatCode>[&gt;=1000000]"$"0.0,,"M";[&gt;1000]"$"0.0,"K";0</c:formatCode>
                <c:ptCount val="8"/>
                <c:pt idx="0">
                  <c:v>718216.26999999932</c:v>
                </c:pt>
                <c:pt idx="1">
                  <c:v>417457.830000002</c:v>
                </c:pt>
                <c:pt idx="2">
                  <c:v>367414.25000000041</c:v>
                </c:pt>
                <c:pt idx="3">
                  <c:v>339210.4900000029</c:v>
                </c:pt>
                <c:pt idx="4">
                  <c:v>174072.76000000042</c:v>
                </c:pt>
                <c:pt idx="5">
                  <c:v>142236.05999999901</c:v>
                </c:pt>
                <c:pt idx="6">
                  <c:v>86449.160000000033</c:v>
                </c:pt>
                <c:pt idx="7">
                  <c:v>52455.239999999467</c:v>
                </c:pt>
              </c:numCache>
            </c:numRef>
          </c:val>
          <c:extLst>
            <c:ext xmlns:c16="http://schemas.microsoft.com/office/drawing/2014/chart" uri="{C3380CC4-5D6E-409C-BE32-E72D297353CC}">
              <c16:uniqueId val="{00000000-5658-46D6-A653-919B475A9D89}"/>
            </c:ext>
          </c:extLst>
        </c:ser>
        <c:dLbls>
          <c:dLblPos val="outEnd"/>
          <c:showLegendKey val="0"/>
          <c:showVal val="1"/>
          <c:showCatName val="0"/>
          <c:showSerName val="0"/>
          <c:showPercent val="0"/>
          <c:showBubbleSize val="0"/>
        </c:dLbls>
        <c:gapWidth val="45"/>
        <c:axId val="714148431"/>
        <c:axId val="714154671"/>
      </c:barChart>
      <c:catAx>
        <c:axId val="714148431"/>
        <c:scaling>
          <c:orientation val="maxMin"/>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714154671"/>
        <c:crosses val="autoZero"/>
        <c:auto val="1"/>
        <c:lblAlgn val="ctr"/>
        <c:lblOffset val="100"/>
        <c:noMultiLvlLbl val="0"/>
      </c:catAx>
      <c:valAx>
        <c:axId val="714154671"/>
        <c:scaling>
          <c:orientation val="minMax"/>
        </c:scaling>
        <c:delete val="1"/>
        <c:axPos val="t"/>
        <c:numFmt formatCode="[&gt;=1000000]&quot;$&quot;0.0,,&quot;M&quot;;[&gt;1000]&quot;$&quot;0.0,&quot;K&quot;;0" sourceLinked="1"/>
        <c:majorTickMark val="none"/>
        <c:minorTickMark val="none"/>
        <c:tickLblPos val="nextTo"/>
        <c:crossAx val="71414843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647069375618051E-2"/>
          <c:y val="9.4052558782849238E-2"/>
          <c:w val="0.87778400287806191"/>
          <c:h val="0.65104627481730759"/>
        </c:manualLayout>
      </c:layout>
      <c:lineChart>
        <c:grouping val="standard"/>
        <c:varyColors val="0"/>
        <c:ser>
          <c:idx val="0"/>
          <c:order val="0"/>
          <c:tx>
            <c:strRef>
              <c:f>'Analysis-2'!$I$5</c:f>
              <c:strCache>
                <c:ptCount val="1"/>
                <c:pt idx="0">
                  <c:v>Total Revenue</c:v>
                </c:pt>
              </c:strCache>
            </c:strRef>
          </c:tx>
          <c:spPr>
            <a:ln w="28575" cap="rnd">
              <a:solidFill>
                <a:schemeClr val="bg1">
                  <a:lumMod val="50000"/>
                </a:schemeClr>
              </a:solidFill>
              <a:round/>
            </a:ln>
            <a:effectLst/>
          </c:spPr>
          <c:marker>
            <c:symbol val="circle"/>
            <c:size val="5"/>
            <c:spPr>
              <a:solidFill>
                <a:schemeClr val="accent1">
                  <a:lumMod val="50000"/>
                </a:schemeClr>
              </a:solidFill>
              <a:ln w="9525">
                <a:solidFill>
                  <a:schemeClr val="accent1"/>
                </a:solidFill>
              </a:ln>
              <a:effectLst/>
            </c:spPr>
          </c:marker>
          <c:dLbls>
            <c:dLbl>
              <c:idx val="0"/>
              <c:layout/>
              <c:tx>
                <c:rich>
                  <a:bodyPr/>
                  <a:lstStyle/>
                  <a:p>
                    <a:fld id="{70DBCA36-B886-4A4C-A58A-EF4E774DFCA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E556-44E4-BA38-2B4EB23DFA39}"/>
                </c:ext>
              </c:extLst>
            </c:dLbl>
            <c:dLbl>
              <c:idx val="1"/>
              <c:layout/>
              <c:tx>
                <c:rich>
                  <a:bodyPr/>
                  <a:lstStyle/>
                  <a:p>
                    <a:fld id="{E00622F0-E8DA-4628-85EA-46B592274DC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E556-44E4-BA38-2B4EB23DFA39}"/>
                </c:ext>
              </c:extLst>
            </c:dLbl>
            <c:dLbl>
              <c:idx val="2"/>
              <c:layout/>
              <c:tx>
                <c:rich>
                  <a:bodyPr/>
                  <a:lstStyle/>
                  <a:p>
                    <a:fld id="{46C9438B-EC46-481B-8E55-7292B026CD1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E556-44E4-BA38-2B4EB23DFA39}"/>
                </c:ext>
              </c:extLst>
            </c:dLbl>
            <c:dLbl>
              <c:idx val="3"/>
              <c:layout/>
              <c:tx>
                <c:rich>
                  <a:bodyPr/>
                  <a:lstStyle/>
                  <a:p>
                    <a:fld id="{33FCAA6B-C79C-4EED-9CCB-39B3CE7ECE6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E556-44E4-BA38-2B4EB23DFA39}"/>
                </c:ext>
              </c:extLst>
            </c:dLbl>
            <c:dLbl>
              <c:idx val="4"/>
              <c:layout/>
              <c:tx>
                <c:rich>
                  <a:bodyPr/>
                  <a:lstStyle/>
                  <a:p>
                    <a:fld id="{5349E152-CA7C-49B8-AE72-67079297A6F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E556-44E4-BA38-2B4EB23DFA39}"/>
                </c:ext>
              </c:extLst>
            </c:dLbl>
            <c:dLbl>
              <c:idx val="5"/>
              <c:layout/>
              <c:tx>
                <c:rich>
                  <a:bodyPr/>
                  <a:lstStyle/>
                  <a:p>
                    <a:fld id="{0E737F0B-94DF-484A-87DE-CE71A480194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5-E556-44E4-BA38-2B4EB23DFA39}"/>
                </c:ext>
              </c:extLst>
            </c:dLbl>
            <c:dLbl>
              <c:idx val="6"/>
              <c:layout/>
              <c:tx>
                <c:rich>
                  <a:bodyPr/>
                  <a:lstStyle/>
                  <a:p>
                    <a:fld id="{804601CC-7723-4C69-8B8E-211FA68DE97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6-E556-44E4-BA38-2B4EB23DFA39}"/>
                </c:ext>
              </c:extLst>
            </c:dLbl>
            <c:dLbl>
              <c:idx val="7"/>
              <c:layout/>
              <c:tx>
                <c:rich>
                  <a:bodyPr/>
                  <a:lstStyle/>
                  <a:p>
                    <a:fld id="{FB37E1A3-EB90-4717-9FA4-B4BBA905D2C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E556-44E4-BA38-2B4EB23DFA39}"/>
                </c:ext>
              </c:extLst>
            </c:dLbl>
            <c:dLbl>
              <c:idx val="8"/>
              <c:layout/>
              <c:tx>
                <c:rich>
                  <a:bodyPr/>
                  <a:lstStyle/>
                  <a:p>
                    <a:fld id="{6AE79A78-64FB-4ABE-86AE-FEF33533EB9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8-E556-44E4-BA38-2B4EB23DFA39}"/>
                </c:ext>
              </c:extLst>
            </c:dLbl>
            <c:dLbl>
              <c:idx val="9"/>
              <c:layout/>
              <c:tx>
                <c:rich>
                  <a:bodyPr/>
                  <a:lstStyle/>
                  <a:p>
                    <a:fld id="{208AB816-83BF-4E33-A626-AF15FDD9B82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9-E556-44E4-BA38-2B4EB23DFA39}"/>
                </c:ext>
              </c:extLst>
            </c:dLbl>
            <c:dLbl>
              <c:idx val="10"/>
              <c:layout/>
              <c:tx>
                <c:rich>
                  <a:bodyPr/>
                  <a:lstStyle/>
                  <a:p>
                    <a:fld id="{D090744D-77A3-4B51-B48B-12BCF4C47B6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A-E556-44E4-BA38-2B4EB23DFA39}"/>
                </c:ext>
              </c:extLst>
            </c:dLbl>
            <c:dLbl>
              <c:idx val="11"/>
              <c:layout/>
              <c:tx>
                <c:rich>
                  <a:bodyPr/>
                  <a:lstStyle/>
                  <a:p>
                    <a:fld id="{F56F69B8-F4D0-4DAD-98E2-B54E99CEE82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B-E556-44E4-BA38-2B4EB23DFA3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'Analysis-2'!$H$6:$H$17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'Analysis-2'!$I$6:$I$17</c:f>
              <c:numCache>
                <c:formatCode>[&gt;=1000000]"$"0,,"M";[&gt;1000]"$"0,"K";0</c:formatCode>
                <c:ptCount val="12"/>
                <c:pt idx="0">
                  <c:v>444162.52000000014</c:v>
                </c:pt>
                <c:pt idx="1">
                  <c:v>423741.52</c:v>
                </c:pt>
                <c:pt idx="2">
                  <c:v>468344.26999999949</c:v>
                </c:pt>
                <c:pt idx="3">
                  <c:v>448652.76000000007</c:v>
                </c:pt>
                <c:pt idx="4">
                  <c:v>480720.64000000001</c:v>
                </c:pt>
                <c:pt idx="5">
                  <c:v>455501.13999999996</c:v>
                </c:pt>
                <c:pt idx="6">
                  <c:v>433725.86000000057</c:v>
                </c:pt>
                <c:pt idx="7">
                  <c:v>485766.24999999977</c:v>
                </c:pt>
                <c:pt idx="8">
                  <c:v>443447.43000000028</c:v>
                </c:pt>
                <c:pt idx="9">
                  <c:v>458984.37999999971</c:v>
                </c:pt>
                <c:pt idx="10">
                  <c:v>462537.40999999939</c:v>
                </c:pt>
                <c:pt idx="11">
                  <c:v>441225.2900000001</c:v>
                </c:pt>
              </c:numCache>
            </c:numRef>
          </c:val>
          <c:smooth val="1"/>
          <c:extLst>
            <c:ext xmlns:c15="http://schemas.microsoft.com/office/drawing/2012/chart" uri="{02D57815-91ED-43cb-92C2-25804820EDAC}">
              <c15:datalabelsRange>
                <c15:f>'Analysis-2'!$K$6:$K$17</c15:f>
                <c15:dlblRangeCache>
                  <c:ptCount val="12"/>
                  <c:pt idx="4">
                    <c:v>$481K</c:v>
                  </c:pt>
                  <c:pt idx="7">
                    <c:v>$486K</c:v>
                  </c:pt>
                </c15:dlblRangeCache>
              </c15:datalabelsRange>
            </c:ext>
            <c:ext xmlns:c16="http://schemas.microsoft.com/office/drawing/2014/chart" uri="{C3380CC4-5D6E-409C-BE32-E72D297353CC}">
              <c16:uniqueId val="{0000000C-E556-44E4-BA38-2B4EB23DFA39}"/>
            </c:ext>
          </c:extLst>
        </c:ser>
        <c:ser>
          <c:idx val="1"/>
          <c:order val="1"/>
          <c:tx>
            <c:strRef>
              <c:f>'Analysis-2'!$J$5</c:f>
              <c:strCache>
                <c:ptCount val="1"/>
                <c:pt idx="0">
                  <c:v>Total Target</c:v>
                </c:pt>
              </c:strCache>
            </c:strRef>
          </c:tx>
          <c:spPr>
            <a:ln w="28575" cap="rnd">
              <a:solidFill>
                <a:srgbClr val="1F8CB3"/>
              </a:solidFill>
              <a:round/>
            </a:ln>
            <a:effectLst/>
          </c:spPr>
          <c:marker>
            <c:symbol val="none"/>
          </c:marker>
          <c:cat>
            <c:strRef>
              <c:f>'Analysis-2'!$H$6:$H$17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'Analysis-2'!$J$6:$J$17</c:f>
              <c:numCache>
                <c:formatCode>[&gt;=1000000]"$"0,,"M";[&gt;1000]"$"0,"K";0</c:formatCode>
                <c:ptCount val="12"/>
                <c:pt idx="0">
                  <c:v>439042</c:v>
                </c:pt>
                <c:pt idx="1">
                  <c:v>431279</c:v>
                </c:pt>
                <c:pt idx="2">
                  <c:v>445591</c:v>
                </c:pt>
                <c:pt idx="3">
                  <c:v>453071</c:v>
                </c:pt>
                <c:pt idx="4">
                  <c:v>444167</c:v>
                </c:pt>
                <c:pt idx="5">
                  <c:v>421979</c:v>
                </c:pt>
                <c:pt idx="6">
                  <c:v>456718</c:v>
                </c:pt>
                <c:pt idx="7">
                  <c:v>431727</c:v>
                </c:pt>
                <c:pt idx="8">
                  <c:v>446912</c:v>
                </c:pt>
                <c:pt idx="9">
                  <c:v>414360</c:v>
                </c:pt>
                <c:pt idx="10">
                  <c:v>413371</c:v>
                </c:pt>
                <c:pt idx="11">
                  <c:v>456773</c:v>
                </c:pt>
              </c:numCache>
            </c:numRef>
          </c:val>
          <c:smooth val="1"/>
          <c:extLst>
            <c:ext xmlns:c16="http://schemas.microsoft.com/office/drawing/2014/chart" uri="{C3380CC4-5D6E-409C-BE32-E72D297353CC}">
              <c16:uniqueId val="{0000000D-E556-44E4-BA38-2B4EB23DFA39}"/>
            </c:ext>
          </c:extLst>
        </c:ser>
        <c:dLbls>
          <c:showLegendKey val="0"/>
          <c:showVal val="0"/>
          <c:showCatName val="0"/>
          <c:showSerName val="0"/>
          <c:showPercent val="0"/>
          <c:showBubbleSize val="0"/>
        </c:dLbls>
        <c:marker val="1"/>
        <c:smooth val="0"/>
        <c:axId val="1843897376"/>
        <c:axId val="1843894880"/>
      </c:lineChart>
      <c:catAx>
        <c:axId val="184389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894880"/>
        <c:crosses val="autoZero"/>
        <c:auto val="1"/>
        <c:lblAlgn val="ctr"/>
        <c:lblOffset val="100"/>
        <c:noMultiLvlLbl val="0"/>
      </c:catAx>
      <c:valAx>
        <c:axId val="1843894880"/>
        <c:scaling>
          <c:orientation val="minMax"/>
        </c:scaling>
        <c:delete val="0"/>
        <c:axPos val="l"/>
        <c:numFmt formatCode="[&gt;=1000000]&quot;$&quot;0,,&quot;M&quot;;[&gt;1000]&quot;$&quot;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8973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checked="Checked" firstButton="1" fmlaLink="'Analysis-3'!$F$2"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Drop" dropStyle="combo" dx="16" fmlaLink="'Analysis-3'!$F$3" fmlaRange="'Analysis-3'!$I$2:$I$3" noThreeD="1" sel="2" val="0"/>
</file>

<file path=xl/ctrlProps/ctrlProp4.xml><?xml version="1.0" encoding="utf-8"?>
<formControlPr xmlns="http://schemas.microsoft.com/office/spreadsheetml/2009/9/main" objectType="Radio" checked="Checked" firstButton="1" fmlaLink="'Analysis-3'!$AU$24" lockText="1" noThreeD="1"/>
</file>

<file path=xl/ctrlProps/ctrlProp5.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GBox" noThreeD="1"/>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hyperlink" Target="#Store_dashboard!A1"/><Relationship Id="rId3" Type="http://schemas.openxmlformats.org/officeDocument/2006/relationships/image" Target="../media/image2.png"/><Relationship Id="rId7" Type="http://schemas.openxmlformats.org/officeDocument/2006/relationships/image" Target="../media/image5.emf"/><Relationship Id="rId12" Type="http://schemas.openxmlformats.org/officeDocument/2006/relationships/hyperlink" Target="#Timeframe!A1"/><Relationship Id="rId2" Type="http://schemas.openxmlformats.org/officeDocument/2006/relationships/image" Target="../media/image1.png"/><Relationship Id="rId1" Type="http://schemas.openxmlformats.org/officeDocument/2006/relationships/chart" Target="../charts/chart3.xml"/><Relationship Id="rId6" Type="http://schemas.openxmlformats.org/officeDocument/2006/relationships/chart" Target="../charts/chart4.xml"/><Relationship Id="rId11" Type="http://schemas.openxmlformats.org/officeDocument/2006/relationships/chart" Target="../charts/chart8.xml"/><Relationship Id="rId5" Type="http://schemas.openxmlformats.org/officeDocument/2006/relationships/image" Target="../media/image4.png"/><Relationship Id="rId10" Type="http://schemas.openxmlformats.org/officeDocument/2006/relationships/chart" Target="../charts/chart7.xml"/><Relationship Id="rId4" Type="http://schemas.openxmlformats.org/officeDocument/2006/relationships/image" Target="../media/image3.png"/><Relationship Id="rId9" Type="http://schemas.openxmlformats.org/officeDocument/2006/relationships/chart" Target="../charts/chart6.xml"/><Relationship Id="rId14" Type="http://schemas.openxmlformats.org/officeDocument/2006/relationships/hyperlink" Target="#'Profit View'!A1"/></Relationships>
</file>

<file path=xl/drawings/_rels/drawing5.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7.emf"/><Relationship Id="rId7" Type="http://schemas.openxmlformats.org/officeDocument/2006/relationships/chart" Target="../charts/chart13.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2.xml"/><Relationship Id="rId11" Type="http://schemas.openxmlformats.org/officeDocument/2006/relationships/hyperlink" Target="#'Profit View'!A1"/><Relationship Id="rId5" Type="http://schemas.openxmlformats.org/officeDocument/2006/relationships/chart" Target="../charts/chart11.xml"/><Relationship Id="rId10" Type="http://schemas.openxmlformats.org/officeDocument/2006/relationships/hyperlink" Target="#Store_dashboard!A1"/><Relationship Id="rId4" Type="http://schemas.openxmlformats.org/officeDocument/2006/relationships/image" Target="../media/image8.emf"/><Relationship Id="rId9" Type="http://schemas.openxmlformats.org/officeDocument/2006/relationships/hyperlink" Target="#Timeframe!A1"/></Relationships>
</file>

<file path=xl/drawings/_rels/drawing6.xml.rels><?xml version="1.0" encoding="UTF-8" standalone="yes"?>
<Relationships xmlns="http://schemas.openxmlformats.org/package/2006/relationships"><Relationship Id="rId3" Type="http://schemas.openxmlformats.org/officeDocument/2006/relationships/hyperlink" Target="#Store_dashboard!A1"/><Relationship Id="rId2" Type="http://schemas.openxmlformats.org/officeDocument/2006/relationships/hyperlink" Target="#Timeframe!A1"/><Relationship Id="rId1" Type="http://schemas.openxmlformats.org/officeDocument/2006/relationships/chart" Target="../charts/chart14.xml"/><Relationship Id="rId5" Type="http://schemas.openxmlformats.org/officeDocument/2006/relationships/image" Target="../media/image9.png"/><Relationship Id="rId4" Type="http://schemas.openxmlformats.org/officeDocument/2006/relationships/hyperlink" Target="#'Profit View'!A1"/></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oneCellAnchor>
    <xdr:from>
      <xdr:col>9</xdr:col>
      <xdr:colOff>457200</xdr:colOff>
      <xdr:row>9</xdr:row>
      <xdr:rowOff>38100</xdr:rowOff>
    </xdr:from>
    <xdr:ext cx="65" cy="172227"/>
    <xdr:sp macro="" textlink="">
      <xdr:nvSpPr>
        <xdr:cNvPr id="2" name="TextBox 1"/>
        <xdr:cNvSpPr txBox="1"/>
      </xdr:nvSpPr>
      <xdr:spPr>
        <a:xfrm>
          <a:off x="5943600" y="1828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585787</xdr:colOff>
      <xdr:row>18</xdr:row>
      <xdr:rowOff>47625</xdr:rowOff>
    </xdr:from>
    <xdr:to>
      <xdr:col>6</xdr:col>
      <xdr:colOff>47625</xdr:colOff>
      <xdr:row>31</xdr:row>
      <xdr:rowOff>17318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554182</xdr:colOff>
      <xdr:row>23</xdr:row>
      <xdr:rowOff>74468</xdr:rowOff>
    </xdr:from>
    <xdr:to>
      <xdr:col>13</xdr:col>
      <xdr:colOff>406977</xdr:colOff>
      <xdr:row>37</xdr:row>
      <xdr:rowOff>150668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285750</xdr:colOff>
      <xdr:row>27</xdr:row>
      <xdr:rowOff>114300</xdr:rowOff>
    </xdr:from>
    <xdr:to>
      <xdr:col>15</xdr:col>
      <xdr:colOff>304800</xdr:colOff>
      <xdr:row>29</xdr:row>
      <xdr:rowOff>133350</xdr:rowOff>
    </xdr:to>
    <xdr:sp macro="" textlink="">
      <xdr:nvSpPr>
        <xdr:cNvPr id="49" name="Rounded Rectangle 48"/>
        <xdr:cNvSpPr/>
      </xdr:nvSpPr>
      <xdr:spPr>
        <a:xfrm>
          <a:off x="10296525" y="5257800"/>
          <a:ext cx="628650" cy="400050"/>
        </a:xfrm>
        <a:prstGeom prst="roundRect">
          <a:avLst/>
        </a:prstGeom>
        <a:solidFill>
          <a:srgbClr val="00539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458724</xdr:colOff>
      <xdr:row>8</xdr:row>
      <xdr:rowOff>95250</xdr:rowOff>
    </xdr:from>
    <xdr:to>
      <xdr:col>11</xdr:col>
      <xdr:colOff>9525</xdr:colOff>
      <xdr:row>21</xdr:row>
      <xdr:rowOff>78486</xdr:rowOff>
    </xdr:to>
    <xdr:sp macro="" textlink="">
      <xdr:nvSpPr>
        <xdr:cNvPr id="37" name="Rectangle 36"/>
        <xdr:cNvSpPr/>
      </xdr:nvSpPr>
      <xdr:spPr>
        <a:xfrm>
          <a:off x="5202174" y="1619250"/>
          <a:ext cx="3465576" cy="245973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954024</xdr:colOff>
      <xdr:row>8</xdr:row>
      <xdr:rowOff>76200</xdr:rowOff>
    </xdr:from>
    <xdr:to>
      <xdr:col>5</xdr:col>
      <xdr:colOff>393192</xdr:colOff>
      <xdr:row>21</xdr:row>
      <xdr:rowOff>68580</xdr:rowOff>
    </xdr:to>
    <xdr:sp macro="" textlink="">
      <xdr:nvSpPr>
        <xdr:cNvPr id="41" name="Rectangle 40"/>
        <xdr:cNvSpPr/>
      </xdr:nvSpPr>
      <xdr:spPr>
        <a:xfrm>
          <a:off x="3106674" y="1600200"/>
          <a:ext cx="2029968" cy="246888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306324</xdr:colOff>
      <xdr:row>8</xdr:row>
      <xdr:rowOff>85725</xdr:rowOff>
    </xdr:from>
    <xdr:to>
      <xdr:col>3</xdr:col>
      <xdr:colOff>886968</xdr:colOff>
      <xdr:row>21</xdr:row>
      <xdr:rowOff>78105</xdr:rowOff>
    </xdr:to>
    <xdr:sp macro="" textlink="">
      <xdr:nvSpPr>
        <xdr:cNvPr id="42" name="Rectangle 41"/>
        <xdr:cNvSpPr/>
      </xdr:nvSpPr>
      <xdr:spPr>
        <a:xfrm>
          <a:off x="1430274" y="1609725"/>
          <a:ext cx="1609344" cy="246888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230124</xdr:colOff>
      <xdr:row>21</xdr:row>
      <xdr:rowOff>142875</xdr:rowOff>
    </xdr:from>
    <xdr:to>
      <xdr:col>10</xdr:col>
      <xdr:colOff>608076</xdr:colOff>
      <xdr:row>31</xdr:row>
      <xdr:rowOff>66675</xdr:rowOff>
    </xdr:to>
    <xdr:sp macro="" textlink="">
      <xdr:nvSpPr>
        <xdr:cNvPr id="43" name="Rectangle 42"/>
        <xdr:cNvSpPr/>
      </xdr:nvSpPr>
      <xdr:spPr>
        <a:xfrm>
          <a:off x="5840349" y="4143375"/>
          <a:ext cx="2816352" cy="18288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21</xdr:row>
      <xdr:rowOff>152400</xdr:rowOff>
    </xdr:from>
    <xdr:to>
      <xdr:col>6</xdr:col>
      <xdr:colOff>160782</xdr:colOff>
      <xdr:row>31</xdr:row>
      <xdr:rowOff>76200</xdr:rowOff>
    </xdr:to>
    <xdr:sp macro="" textlink="">
      <xdr:nvSpPr>
        <xdr:cNvPr id="44" name="Rectangle 43"/>
        <xdr:cNvSpPr/>
      </xdr:nvSpPr>
      <xdr:spPr>
        <a:xfrm>
          <a:off x="1400175" y="4152900"/>
          <a:ext cx="4370832" cy="18288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352425</xdr:colOff>
      <xdr:row>0</xdr:row>
      <xdr:rowOff>19050</xdr:rowOff>
    </xdr:from>
    <xdr:to>
      <xdr:col>20</xdr:col>
      <xdr:colOff>602361</xdr:colOff>
      <xdr:row>33</xdr:row>
      <xdr:rowOff>85725</xdr:rowOff>
    </xdr:to>
    <xdr:sp macro="" textlink="">
      <xdr:nvSpPr>
        <xdr:cNvPr id="2" name="Moon 1"/>
        <xdr:cNvSpPr/>
      </xdr:nvSpPr>
      <xdr:spPr>
        <a:xfrm flipH="1">
          <a:off x="10229850" y="19050"/>
          <a:ext cx="4517136" cy="6353175"/>
        </a:xfrm>
        <a:prstGeom prst="moon">
          <a:avLst/>
        </a:prstGeom>
        <a:solidFill>
          <a:schemeClr val="accent5">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352425</xdr:colOff>
      <xdr:row>0</xdr:row>
      <xdr:rowOff>0</xdr:rowOff>
    </xdr:from>
    <xdr:to>
      <xdr:col>21</xdr:col>
      <xdr:colOff>104775</xdr:colOff>
      <xdr:row>33</xdr:row>
      <xdr:rowOff>142875</xdr:rowOff>
    </xdr:to>
    <xdr:sp macro="" textlink="">
      <xdr:nvSpPr>
        <xdr:cNvPr id="4" name="Moon 3"/>
        <xdr:cNvSpPr/>
      </xdr:nvSpPr>
      <xdr:spPr>
        <a:xfrm flipH="1">
          <a:off x="9810750" y="0"/>
          <a:ext cx="4629150" cy="6429375"/>
        </a:xfrm>
        <a:prstGeom prst="moon">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1057275</xdr:colOff>
      <xdr:row>0</xdr:row>
      <xdr:rowOff>0</xdr:rowOff>
    </xdr:from>
    <xdr:to>
      <xdr:col>13</xdr:col>
      <xdr:colOff>296418</xdr:colOff>
      <xdr:row>2</xdr:row>
      <xdr:rowOff>131064</xdr:rowOff>
    </xdr:to>
    <xdr:sp macro="" textlink="">
      <xdr:nvSpPr>
        <xdr:cNvPr id="5" name="Rounded Rectangle 4"/>
        <xdr:cNvSpPr/>
      </xdr:nvSpPr>
      <xdr:spPr>
        <a:xfrm>
          <a:off x="1057275" y="0"/>
          <a:ext cx="9116568" cy="512064"/>
        </a:xfrm>
        <a:prstGeom prst="roundRect">
          <a:avLst/>
        </a:prstGeom>
        <a:gradFill flip="none" rotWithShape="1">
          <a:gsLst>
            <a:gs pos="0">
              <a:schemeClr val="bg1">
                <a:lumMod val="95000"/>
              </a:schemeClr>
            </a:gs>
            <a:gs pos="35000">
              <a:schemeClr val="bg1"/>
            </a:gs>
            <a:gs pos="100000">
              <a:schemeClr val="bg1">
                <a:lumMod val="95000"/>
              </a:schemeClr>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2400" b="1" baseline="0">
            <a:solidFill>
              <a:sysClr val="windowText" lastClr="000000"/>
            </a:solidFill>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5</xdr:col>
          <xdr:colOff>809625</xdr:colOff>
          <xdr:row>8</xdr:row>
          <xdr:rowOff>76200</xdr:rowOff>
        </xdr:from>
        <xdr:to>
          <xdr:col>7</xdr:col>
          <xdr:colOff>9525</xdr:colOff>
          <xdr:row>10</xdr:row>
          <xdr:rowOff>9525</xdr:rowOff>
        </xdr:to>
        <xdr:sp macro="" textlink="">
          <xdr:nvSpPr>
            <xdr:cNvPr id="5121" name="Option Button 1" hidden="1">
              <a:extLst>
                <a:ext uri="{63B3BB69-23CF-44E3-9099-C40C66FF867C}">
                  <a14:compatExt spid="_x0000_s5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190500</xdr:colOff>
          <xdr:row>8</xdr:row>
          <xdr:rowOff>123825</xdr:rowOff>
        </xdr:from>
        <xdr:to>
          <xdr:col>9</xdr:col>
          <xdr:colOff>161925</xdr:colOff>
          <xdr:row>9</xdr:row>
          <xdr:rowOff>152400</xdr:rowOff>
        </xdr:to>
        <xdr:sp macro="" textlink="">
          <xdr:nvSpPr>
            <xdr:cNvPr id="5122" name="Option Button 2" hidden="1">
              <a:extLst>
                <a:ext uri="{63B3BB69-23CF-44E3-9099-C40C66FF867C}">
                  <a14:compatExt spid="_x0000_s5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133350</xdr:colOff>
          <xdr:row>8</xdr:row>
          <xdr:rowOff>142875</xdr:rowOff>
        </xdr:from>
        <xdr:to>
          <xdr:col>10</xdr:col>
          <xdr:colOff>561975</xdr:colOff>
          <xdr:row>9</xdr:row>
          <xdr:rowOff>152400</xdr:rowOff>
        </xdr:to>
        <xdr:sp macro="" textlink="">
          <xdr:nvSpPr>
            <xdr:cNvPr id="5123" name="Drop Down 3" hidden="1">
              <a:extLst>
                <a:ext uri="{63B3BB69-23CF-44E3-9099-C40C66FF867C}">
                  <a14:compatExt spid="_x0000_s512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5</xdr:col>
      <xdr:colOff>495299</xdr:colOff>
      <xdr:row>13</xdr:row>
      <xdr:rowOff>66675</xdr:rowOff>
    </xdr:from>
    <xdr:to>
      <xdr:col>11</xdr:col>
      <xdr:colOff>19049</xdr:colOff>
      <xdr:row>20</xdr:row>
      <xdr:rowOff>171450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xdr:row>
      <xdr:rowOff>185737</xdr:rowOff>
    </xdr:from>
    <xdr:to>
      <xdr:col>3</xdr:col>
      <xdr:colOff>401955</xdr:colOff>
      <xdr:row>7</xdr:row>
      <xdr:rowOff>118681</xdr:rowOff>
    </xdr:to>
    <xdr:grpSp>
      <xdr:nvGrpSpPr>
        <xdr:cNvPr id="36" name="Group 35"/>
        <xdr:cNvGrpSpPr/>
      </xdr:nvGrpSpPr>
      <xdr:grpSpPr>
        <a:xfrm>
          <a:off x="707571" y="757237"/>
          <a:ext cx="1436098" cy="694944"/>
          <a:chOff x="1495425" y="695325"/>
          <a:chExt cx="1554480" cy="694944"/>
        </a:xfrm>
      </xdr:grpSpPr>
      <xdr:sp macro="" textlink="">
        <xdr:nvSpPr>
          <xdr:cNvPr id="3" name="Rounded Rectangle 2"/>
          <xdr:cNvSpPr/>
        </xdr:nvSpPr>
        <xdr:spPr>
          <a:xfrm>
            <a:off x="1495425" y="695325"/>
            <a:ext cx="1554480" cy="694944"/>
          </a:xfrm>
          <a:prstGeom prst="roundRect">
            <a:avLst/>
          </a:prstGeom>
          <a:gradFill flip="none" rotWithShape="1">
            <a:gsLst>
              <a:gs pos="0">
                <a:srgbClr val="00B0F0"/>
              </a:gs>
              <a:gs pos="38000">
                <a:srgbClr val="332B50"/>
              </a:gs>
              <a:gs pos="100000">
                <a:srgbClr val="332B50"/>
              </a:gs>
            </a:gsLst>
            <a:path path="circle">
              <a:fillToRect l="100000" b="100000"/>
            </a:path>
            <a:tileRect t="-100000" r="-10000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Oval 5"/>
          <xdr:cNvSpPr/>
        </xdr:nvSpPr>
        <xdr:spPr>
          <a:xfrm>
            <a:off x="1562099" y="838200"/>
            <a:ext cx="390525" cy="371475"/>
          </a:xfrm>
          <a:prstGeom prst="ellipse">
            <a:avLst/>
          </a:prstGeom>
          <a:solidFill>
            <a:schemeClr val="accent1">
              <a:lumMod val="75000"/>
              <a:alpha val="4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xdr:cNvPicPr>
            <a:picLocks noChangeAspect="1"/>
          </xdr:cNvPicPr>
        </xdr:nvPicPr>
        <xdr:blipFill>
          <a:blip xmlns:r="http://schemas.openxmlformats.org/officeDocument/2006/relationships" r:embed="rId2" cstate="print">
            <a:lum bright="70000" contrast="-70000"/>
            <a:extLst>
              <a:ext uri="{28A0092B-C50C-407E-A947-70E740481C1C}">
                <a14:useLocalDpi xmlns:a14="http://schemas.microsoft.com/office/drawing/2010/main" val="0"/>
              </a:ext>
            </a:extLst>
          </a:blip>
          <a:stretch>
            <a:fillRect/>
          </a:stretch>
        </xdr:blipFill>
        <xdr:spPr>
          <a:xfrm>
            <a:off x="1635902" y="921527"/>
            <a:ext cx="259574" cy="259574"/>
          </a:xfrm>
          <a:prstGeom prst="rect">
            <a:avLst/>
          </a:prstGeom>
        </xdr:spPr>
      </xdr:pic>
      <xdr:sp macro="" textlink="">
        <xdr:nvSpPr>
          <xdr:cNvPr id="17" name="TextBox 16"/>
          <xdr:cNvSpPr txBox="1"/>
        </xdr:nvSpPr>
        <xdr:spPr>
          <a:xfrm>
            <a:off x="2266949" y="1047750"/>
            <a:ext cx="67627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200" b="1">
                <a:solidFill>
                  <a:schemeClr val="bg1">
                    <a:lumMod val="75000"/>
                  </a:schemeClr>
                </a:solidFill>
              </a:rPr>
              <a:t>COGS</a:t>
            </a:r>
            <a:endParaRPr lang="en-US" sz="1400" b="1">
              <a:solidFill>
                <a:schemeClr val="bg1">
                  <a:lumMod val="75000"/>
                </a:schemeClr>
              </a:solidFill>
            </a:endParaRPr>
          </a:p>
        </xdr:txBody>
      </xdr:sp>
      <xdr:sp macro="" textlink="'Analysis-3'!Q21">
        <xdr:nvSpPr>
          <xdr:cNvPr id="28" name="TextBox 27"/>
          <xdr:cNvSpPr txBox="1"/>
        </xdr:nvSpPr>
        <xdr:spPr>
          <a:xfrm>
            <a:off x="2012896" y="876300"/>
            <a:ext cx="997004" cy="157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88795C-4D28-4F1D-A098-97D895596D8C}" type="TxLink">
              <a:rPr lang="en-US" sz="2000" b="0" i="0" u="none" strike="noStrike">
                <a:solidFill>
                  <a:schemeClr val="bg1"/>
                </a:solidFill>
                <a:latin typeface="Calibri"/>
                <a:cs typeface="Calibri"/>
              </a:rPr>
              <a:pPr algn="ctr"/>
              <a:t>$3.1M</a:t>
            </a:fld>
            <a:endParaRPr lang="en-US" sz="2800" b="1">
              <a:solidFill>
                <a:schemeClr val="bg1"/>
              </a:solidFill>
            </a:endParaRPr>
          </a:p>
        </xdr:txBody>
      </xdr:sp>
    </xdr:grpSp>
    <xdr:clientData/>
  </xdr:twoCellAnchor>
  <xdr:twoCellAnchor>
    <xdr:from>
      <xdr:col>3</xdr:col>
      <xdr:colOff>876300</xdr:colOff>
      <xdr:row>3</xdr:row>
      <xdr:rowOff>160337</xdr:rowOff>
    </xdr:from>
    <xdr:to>
      <xdr:col>4</xdr:col>
      <xdr:colOff>1173480</xdr:colOff>
      <xdr:row>7</xdr:row>
      <xdr:rowOff>93281</xdr:rowOff>
    </xdr:to>
    <xdr:grpSp>
      <xdr:nvGrpSpPr>
        <xdr:cNvPr id="35" name="Group 34"/>
        <xdr:cNvGrpSpPr/>
      </xdr:nvGrpSpPr>
      <xdr:grpSpPr>
        <a:xfrm>
          <a:off x="2618014" y="731837"/>
          <a:ext cx="1549037" cy="694944"/>
          <a:chOff x="3171825" y="695325"/>
          <a:chExt cx="1554480" cy="694944"/>
        </a:xfrm>
      </xdr:grpSpPr>
      <xdr:sp macro="" textlink="">
        <xdr:nvSpPr>
          <xdr:cNvPr id="10" name="Rounded Rectangle 9"/>
          <xdr:cNvSpPr/>
        </xdr:nvSpPr>
        <xdr:spPr>
          <a:xfrm>
            <a:off x="3171825" y="695325"/>
            <a:ext cx="1554480" cy="694944"/>
          </a:xfrm>
          <a:prstGeom prst="roundRect">
            <a:avLst/>
          </a:prstGeom>
          <a:gradFill flip="none" rotWithShape="1">
            <a:gsLst>
              <a:gs pos="0">
                <a:schemeClr val="bg1">
                  <a:lumMod val="95000"/>
                </a:schemeClr>
              </a:gs>
              <a:gs pos="38000">
                <a:srgbClr val="332B50"/>
              </a:gs>
              <a:gs pos="100000">
                <a:srgbClr val="332B50"/>
              </a:gs>
            </a:gsLst>
            <a:path path="circle">
              <a:fillToRect l="100000" b="100000"/>
            </a:path>
            <a:tileRect t="-100000" r="-10000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Oval 13"/>
          <xdr:cNvSpPr/>
        </xdr:nvSpPr>
        <xdr:spPr>
          <a:xfrm>
            <a:off x="3286125" y="847724"/>
            <a:ext cx="393192" cy="374904"/>
          </a:xfrm>
          <a:prstGeom prst="ellipse">
            <a:avLst/>
          </a:prstGeom>
          <a:solidFill>
            <a:schemeClr val="bg2">
              <a:lumMod val="75000"/>
              <a:alpha val="1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7" name="Picture 6"/>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3362325" y="923925"/>
            <a:ext cx="259383" cy="259383"/>
          </a:xfrm>
          <a:prstGeom prst="rect">
            <a:avLst/>
          </a:prstGeom>
        </xdr:spPr>
      </xdr:pic>
      <xdr:sp macro="" textlink="">
        <xdr:nvSpPr>
          <xdr:cNvPr id="23" name="TextBox 22"/>
          <xdr:cNvSpPr txBox="1"/>
        </xdr:nvSpPr>
        <xdr:spPr>
          <a:xfrm>
            <a:off x="3352800" y="1076325"/>
            <a:ext cx="13144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200" b="1">
                <a:solidFill>
                  <a:schemeClr val="bg1">
                    <a:lumMod val="75000"/>
                  </a:schemeClr>
                </a:solidFill>
              </a:rPr>
              <a:t>Total</a:t>
            </a:r>
            <a:r>
              <a:rPr lang="en-US" sz="1400" b="1">
                <a:solidFill>
                  <a:schemeClr val="bg1">
                    <a:lumMod val="75000"/>
                  </a:schemeClr>
                </a:solidFill>
              </a:rPr>
              <a:t> </a:t>
            </a:r>
            <a:r>
              <a:rPr lang="en-US" sz="1200" b="1">
                <a:solidFill>
                  <a:schemeClr val="bg1">
                    <a:lumMod val="75000"/>
                  </a:schemeClr>
                </a:solidFill>
              </a:rPr>
              <a:t>Revenue</a:t>
            </a:r>
            <a:endParaRPr lang="en-US" sz="1400" b="1">
              <a:solidFill>
                <a:schemeClr val="bg1">
                  <a:lumMod val="75000"/>
                </a:schemeClr>
              </a:solidFill>
            </a:endParaRPr>
          </a:p>
        </xdr:txBody>
      </xdr:sp>
      <xdr:sp macro="" textlink="'Analysis-3'!R21">
        <xdr:nvSpPr>
          <xdr:cNvPr id="29" name="TextBox 28"/>
          <xdr:cNvSpPr txBox="1"/>
        </xdr:nvSpPr>
        <xdr:spPr>
          <a:xfrm>
            <a:off x="3667125" y="914400"/>
            <a:ext cx="9906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29EDA3F-C353-48BF-9237-1488B0D1AD60}" type="TxLink">
              <a:rPr lang="en-US" sz="2000" b="0" i="0" u="none" strike="noStrike">
                <a:solidFill>
                  <a:schemeClr val="bg1"/>
                </a:solidFill>
                <a:latin typeface="Calibri"/>
                <a:cs typeface="Calibri"/>
              </a:rPr>
              <a:pPr algn="r"/>
              <a:t>$5.4M</a:t>
            </a:fld>
            <a:endParaRPr lang="en-US" sz="2800" b="1">
              <a:solidFill>
                <a:schemeClr val="bg1"/>
              </a:solidFill>
            </a:endParaRPr>
          </a:p>
        </xdr:txBody>
      </xdr:sp>
    </xdr:grpSp>
    <xdr:clientData/>
  </xdr:twoCellAnchor>
  <xdr:twoCellAnchor>
    <xdr:from>
      <xdr:col>5</xdr:col>
      <xdr:colOff>314325</xdr:colOff>
      <xdr:row>3</xdr:row>
      <xdr:rowOff>147637</xdr:rowOff>
    </xdr:from>
    <xdr:to>
      <xdr:col>7</xdr:col>
      <xdr:colOff>392430</xdr:colOff>
      <xdr:row>7</xdr:row>
      <xdr:rowOff>80581</xdr:rowOff>
    </xdr:to>
    <xdr:grpSp>
      <xdr:nvGrpSpPr>
        <xdr:cNvPr id="34" name="Group 33"/>
        <xdr:cNvGrpSpPr/>
      </xdr:nvGrpSpPr>
      <xdr:grpSpPr>
        <a:xfrm>
          <a:off x="4641396" y="719137"/>
          <a:ext cx="1561284" cy="694944"/>
          <a:chOff x="4848225" y="695325"/>
          <a:chExt cx="1554480" cy="694944"/>
        </a:xfrm>
      </xdr:grpSpPr>
      <xdr:sp macro="" textlink="">
        <xdr:nvSpPr>
          <xdr:cNvPr id="11" name="Rounded Rectangle 10"/>
          <xdr:cNvSpPr/>
        </xdr:nvSpPr>
        <xdr:spPr>
          <a:xfrm>
            <a:off x="4848225" y="695325"/>
            <a:ext cx="1554480" cy="694944"/>
          </a:xfrm>
          <a:prstGeom prst="roundRect">
            <a:avLst/>
          </a:prstGeom>
          <a:gradFill flip="none" rotWithShape="1">
            <a:gsLst>
              <a:gs pos="0">
                <a:schemeClr val="accent2">
                  <a:lumMod val="40000"/>
                  <a:lumOff val="60000"/>
                </a:schemeClr>
              </a:gs>
              <a:gs pos="38000">
                <a:srgbClr val="332B50"/>
              </a:gs>
              <a:gs pos="100000">
                <a:srgbClr val="332B50"/>
              </a:gs>
            </a:gsLst>
            <a:path path="circle">
              <a:fillToRect l="100000" b="100000"/>
            </a:path>
            <a:tileRect t="-100000" r="-10000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Oval 14"/>
          <xdr:cNvSpPr/>
        </xdr:nvSpPr>
        <xdr:spPr>
          <a:xfrm>
            <a:off x="4953000" y="904874"/>
            <a:ext cx="393192" cy="374904"/>
          </a:xfrm>
          <a:prstGeom prst="ellipse">
            <a:avLst/>
          </a:prstGeom>
          <a:solidFill>
            <a:schemeClr val="bg2">
              <a:lumMod val="50000"/>
              <a:alpha val="4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9" name="Picture 18"/>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tretch>
            <a:fillRect/>
          </a:stretch>
        </xdr:blipFill>
        <xdr:spPr>
          <a:xfrm>
            <a:off x="5017276" y="940576"/>
            <a:ext cx="288149" cy="288149"/>
          </a:xfrm>
          <a:prstGeom prst="rect">
            <a:avLst/>
          </a:prstGeom>
        </xdr:spPr>
      </xdr:pic>
      <xdr:sp macro="" textlink="">
        <xdr:nvSpPr>
          <xdr:cNvPr id="24" name="TextBox 23"/>
          <xdr:cNvSpPr txBox="1"/>
        </xdr:nvSpPr>
        <xdr:spPr>
          <a:xfrm>
            <a:off x="5200650" y="1104900"/>
            <a:ext cx="117157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200" b="1">
                <a:solidFill>
                  <a:schemeClr val="bg1">
                    <a:lumMod val="75000"/>
                  </a:schemeClr>
                </a:solidFill>
              </a:rPr>
              <a:t>Profit</a:t>
            </a:r>
            <a:r>
              <a:rPr lang="en-US" sz="1400" b="1">
                <a:solidFill>
                  <a:schemeClr val="bg1">
                    <a:lumMod val="75000"/>
                  </a:schemeClr>
                </a:solidFill>
              </a:rPr>
              <a:t> </a:t>
            </a:r>
            <a:r>
              <a:rPr lang="en-US" sz="1200" b="1">
                <a:solidFill>
                  <a:schemeClr val="bg1">
                    <a:lumMod val="75000"/>
                  </a:schemeClr>
                </a:solidFill>
              </a:rPr>
              <a:t>Margin</a:t>
            </a:r>
            <a:endParaRPr lang="en-US" sz="1400" b="1">
              <a:solidFill>
                <a:schemeClr val="bg1">
                  <a:lumMod val="75000"/>
                </a:schemeClr>
              </a:solidFill>
            </a:endParaRPr>
          </a:p>
        </xdr:txBody>
      </xdr:sp>
      <xdr:sp macro="" textlink="'Analysis-3'!S21">
        <xdr:nvSpPr>
          <xdr:cNvPr id="30" name="TextBox 29"/>
          <xdr:cNvSpPr txBox="1"/>
        </xdr:nvSpPr>
        <xdr:spPr>
          <a:xfrm>
            <a:off x="5372099" y="885825"/>
            <a:ext cx="10001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4C900D2-1D6C-44E1-AB66-C1AA7D1BBD16}" type="TxLink">
              <a:rPr lang="en-US" sz="2000" b="0" i="0" u="none" strike="noStrike">
                <a:solidFill>
                  <a:schemeClr val="bg1"/>
                </a:solidFill>
                <a:latin typeface="Calibri"/>
                <a:cs typeface="Calibri"/>
              </a:rPr>
              <a:pPr algn="r"/>
              <a:t>$2.3M</a:t>
            </a:fld>
            <a:endParaRPr lang="en-US" sz="2800" b="1">
              <a:solidFill>
                <a:schemeClr val="bg1"/>
              </a:solidFill>
            </a:endParaRPr>
          </a:p>
        </xdr:txBody>
      </xdr:sp>
    </xdr:grpSp>
    <xdr:clientData/>
  </xdr:twoCellAnchor>
  <xdr:twoCellAnchor>
    <xdr:from>
      <xdr:col>8</xdr:col>
      <xdr:colOff>257175</xdr:colOff>
      <xdr:row>3</xdr:row>
      <xdr:rowOff>173037</xdr:rowOff>
    </xdr:from>
    <xdr:to>
      <xdr:col>11</xdr:col>
      <xdr:colOff>28575</xdr:colOff>
      <xdr:row>7</xdr:row>
      <xdr:rowOff>105981</xdr:rowOff>
    </xdr:to>
    <xdr:grpSp>
      <xdr:nvGrpSpPr>
        <xdr:cNvPr id="26" name="Group 25"/>
        <xdr:cNvGrpSpPr/>
      </xdr:nvGrpSpPr>
      <xdr:grpSpPr>
        <a:xfrm>
          <a:off x="6679746" y="744537"/>
          <a:ext cx="1608365" cy="694944"/>
          <a:chOff x="6524625" y="704850"/>
          <a:chExt cx="1600200" cy="694944"/>
        </a:xfrm>
      </xdr:grpSpPr>
      <xdr:sp macro="" textlink="">
        <xdr:nvSpPr>
          <xdr:cNvPr id="12" name="Rounded Rectangle 11"/>
          <xdr:cNvSpPr/>
        </xdr:nvSpPr>
        <xdr:spPr>
          <a:xfrm>
            <a:off x="6524625" y="704850"/>
            <a:ext cx="1554480" cy="694944"/>
          </a:xfrm>
          <a:prstGeom prst="roundRect">
            <a:avLst/>
          </a:prstGeom>
          <a:gradFill flip="none" rotWithShape="1">
            <a:gsLst>
              <a:gs pos="0">
                <a:schemeClr val="accent1">
                  <a:lumMod val="40000"/>
                  <a:lumOff val="60000"/>
                </a:schemeClr>
              </a:gs>
              <a:gs pos="38000">
                <a:srgbClr val="332B50"/>
              </a:gs>
              <a:gs pos="100000">
                <a:srgbClr val="332B50"/>
              </a:gs>
            </a:gsLst>
            <a:path path="circle">
              <a:fillToRect l="100000" b="100000"/>
            </a:path>
            <a:tileRect t="-100000" r="-10000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Oval 15"/>
          <xdr:cNvSpPr/>
        </xdr:nvSpPr>
        <xdr:spPr>
          <a:xfrm>
            <a:off x="6581775" y="923924"/>
            <a:ext cx="393192" cy="374904"/>
          </a:xfrm>
          <a:prstGeom prst="ellipse">
            <a:avLst/>
          </a:prstGeom>
          <a:solidFill>
            <a:schemeClr val="bg2">
              <a:lumMod val="50000"/>
              <a:alpha val="4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3" name="Picture 12"/>
          <xdr:cNvPicPr>
            <a:picLocks noChangeAspect="1"/>
          </xdr:cNvPicPr>
        </xdr:nvPicPr>
        <xdr:blipFill>
          <a:blip xmlns:r="http://schemas.openxmlformats.org/officeDocument/2006/relationships" r:embed="rId5" cstate="print">
            <a:lum bright="70000" contrast="-70000"/>
            <a:extLst>
              <a:ext uri="{28A0092B-C50C-407E-A947-70E740481C1C}">
                <a14:useLocalDpi xmlns:a14="http://schemas.microsoft.com/office/drawing/2010/main" val="0"/>
              </a:ext>
            </a:extLst>
          </a:blip>
          <a:stretch>
            <a:fillRect/>
          </a:stretch>
        </xdr:blipFill>
        <xdr:spPr>
          <a:xfrm>
            <a:off x="6610351" y="923926"/>
            <a:ext cx="342900" cy="342900"/>
          </a:xfrm>
          <a:prstGeom prst="rect">
            <a:avLst/>
          </a:prstGeom>
        </xdr:spPr>
      </xdr:pic>
      <xdr:sp macro="" textlink="">
        <xdr:nvSpPr>
          <xdr:cNvPr id="27" name="TextBox 26"/>
          <xdr:cNvSpPr txBox="1"/>
        </xdr:nvSpPr>
        <xdr:spPr>
          <a:xfrm>
            <a:off x="6667500" y="1142999"/>
            <a:ext cx="1457325" cy="16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200" b="1">
                <a:solidFill>
                  <a:schemeClr val="bg1">
                    <a:lumMod val="75000"/>
                  </a:schemeClr>
                </a:solidFill>
              </a:rPr>
              <a:t>% Profit Margin</a:t>
            </a:r>
          </a:p>
        </xdr:txBody>
      </xdr:sp>
      <xdr:sp macro="" textlink="'Analysis-3'!T21">
        <xdr:nvSpPr>
          <xdr:cNvPr id="31" name="TextBox 30"/>
          <xdr:cNvSpPr txBox="1"/>
        </xdr:nvSpPr>
        <xdr:spPr>
          <a:xfrm>
            <a:off x="6791325" y="904875"/>
            <a:ext cx="1285875"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933FB7DA-B066-46DA-A784-2571EC3E0AC4}" type="TxLink">
              <a:rPr lang="en-US" sz="2000" b="0" i="0" u="none" strike="noStrike">
                <a:solidFill>
                  <a:schemeClr val="bg1"/>
                </a:solidFill>
                <a:latin typeface="Calibri"/>
                <a:cs typeface="Calibri"/>
              </a:rPr>
              <a:pPr algn="r"/>
              <a:t>42.18%</a:t>
            </a:fld>
            <a:endParaRPr lang="en-US" sz="2800" b="1">
              <a:solidFill>
                <a:schemeClr val="bg1"/>
              </a:solidFill>
            </a:endParaRPr>
          </a:p>
        </xdr:txBody>
      </xdr:sp>
    </xdr:grpSp>
    <xdr:clientData/>
  </xdr:twoCellAnchor>
  <xdr:twoCellAnchor>
    <xdr:from>
      <xdr:col>11</xdr:col>
      <xdr:colOff>123825</xdr:colOff>
      <xdr:row>3</xdr:row>
      <xdr:rowOff>161925</xdr:rowOff>
    </xdr:from>
    <xdr:to>
      <xdr:col>16</xdr:col>
      <xdr:colOff>571500</xdr:colOff>
      <xdr:row>31</xdr:row>
      <xdr:rowOff>123825</xdr:rowOff>
    </xdr:to>
    <xdr:grpSp>
      <xdr:nvGrpSpPr>
        <xdr:cNvPr id="25" name="Group 24"/>
        <xdr:cNvGrpSpPr/>
      </xdr:nvGrpSpPr>
      <xdr:grpSpPr>
        <a:xfrm>
          <a:off x="8383361" y="733425"/>
          <a:ext cx="3509282" cy="5295900"/>
          <a:chOff x="8801100" y="666750"/>
          <a:chExt cx="3495675" cy="4910328"/>
        </a:xfrm>
        <a:solidFill>
          <a:srgbClr val="005392"/>
        </a:solidFill>
      </xdr:grpSpPr>
      <xdr:grpSp>
        <xdr:nvGrpSpPr>
          <xdr:cNvPr id="21" name="Group 20"/>
          <xdr:cNvGrpSpPr/>
        </xdr:nvGrpSpPr>
        <xdr:grpSpPr>
          <a:xfrm>
            <a:off x="8801100" y="666750"/>
            <a:ext cx="2838450" cy="4910328"/>
            <a:chOff x="8677275" y="438150"/>
            <a:chExt cx="2838450" cy="4910328"/>
          </a:xfrm>
          <a:grpFill/>
        </xdr:grpSpPr>
        <xdr:sp macro="" textlink="">
          <xdr:nvSpPr>
            <xdr:cNvPr id="18" name="Round Diagonal Corner Rectangle 17"/>
            <xdr:cNvSpPr/>
          </xdr:nvSpPr>
          <xdr:spPr>
            <a:xfrm>
              <a:off x="8677275" y="438150"/>
              <a:ext cx="2148840" cy="4910328"/>
            </a:xfrm>
            <a:prstGeom prst="round2Diag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xdr:cNvSpPr/>
          </xdr:nvSpPr>
          <xdr:spPr>
            <a:xfrm>
              <a:off x="10458450" y="581025"/>
              <a:ext cx="561975" cy="4448175"/>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Rectangle 31"/>
            <xdr:cNvSpPr/>
          </xdr:nvSpPr>
          <xdr:spPr>
            <a:xfrm>
              <a:off x="10677525" y="771525"/>
              <a:ext cx="561975" cy="4048125"/>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Rectangle 32"/>
            <xdr:cNvSpPr/>
          </xdr:nvSpPr>
          <xdr:spPr>
            <a:xfrm>
              <a:off x="10953750" y="990600"/>
              <a:ext cx="561975" cy="3667126"/>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2" name="Oval 21"/>
          <xdr:cNvSpPr/>
        </xdr:nvSpPr>
        <xdr:spPr>
          <a:xfrm>
            <a:off x="10963275" y="1457324"/>
            <a:ext cx="1333500" cy="3133726"/>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219075</xdr:colOff>
      <xdr:row>8</xdr:row>
      <xdr:rowOff>128587</xdr:rowOff>
    </xdr:from>
    <xdr:to>
      <xdr:col>6</xdr:col>
      <xdr:colOff>28575</xdr:colOff>
      <xdr:row>9</xdr:row>
      <xdr:rowOff>147637</xdr:rowOff>
    </xdr:to>
    <xdr:sp macro="" textlink="">
      <xdr:nvSpPr>
        <xdr:cNvPr id="45" name="TextBox 44"/>
        <xdr:cNvSpPr txBox="1"/>
      </xdr:nvSpPr>
      <xdr:spPr>
        <a:xfrm>
          <a:off x="4962525" y="1652587"/>
          <a:ext cx="67627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050" b="1">
              <a:solidFill>
                <a:schemeClr val="tx1">
                  <a:lumMod val="75000"/>
                  <a:lumOff val="25000"/>
                </a:schemeClr>
              </a:solidFill>
            </a:rPr>
            <a:t>Top</a:t>
          </a:r>
          <a:endParaRPr lang="en-US" sz="1100" b="1">
            <a:solidFill>
              <a:schemeClr val="tx1">
                <a:lumMod val="75000"/>
                <a:lumOff val="25000"/>
              </a:schemeClr>
            </a:solidFill>
          </a:endParaRPr>
        </a:p>
      </xdr:txBody>
    </xdr:sp>
    <xdr:clientData/>
  </xdr:twoCellAnchor>
  <xdr:twoCellAnchor>
    <xdr:from>
      <xdr:col>7</xdr:col>
      <xdr:colOff>152400</xdr:colOff>
      <xdr:row>8</xdr:row>
      <xdr:rowOff>119062</xdr:rowOff>
    </xdr:from>
    <xdr:to>
      <xdr:col>8</xdr:col>
      <xdr:colOff>219075</xdr:colOff>
      <xdr:row>9</xdr:row>
      <xdr:rowOff>138112</xdr:rowOff>
    </xdr:to>
    <xdr:sp macro="" textlink="">
      <xdr:nvSpPr>
        <xdr:cNvPr id="46" name="TextBox 45"/>
        <xdr:cNvSpPr txBox="1"/>
      </xdr:nvSpPr>
      <xdr:spPr>
        <a:xfrm>
          <a:off x="6372225" y="1643062"/>
          <a:ext cx="67627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050" b="1">
              <a:solidFill>
                <a:schemeClr val="tx1">
                  <a:lumMod val="75000"/>
                  <a:lumOff val="25000"/>
                </a:schemeClr>
              </a:solidFill>
            </a:rPr>
            <a:t>Bottom</a:t>
          </a:r>
          <a:endParaRPr lang="en-US" sz="1100" b="1">
            <a:solidFill>
              <a:schemeClr val="tx1">
                <a:lumMod val="75000"/>
                <a:lumOff val="25000"/>
              </a:schemeClr>
            </a:solidFill>
          </a:endParaRPr>
        </a:p>
      </xdr:txBody>
    </xdr:sp>
    <xdr:clientData/>
  </xdr:twoCellAnchor>
  <xdr:twoCellAnchor>
    <xdr:from>
      <xdr:col>5</xdr:col>
      <xdr:colOff>209549</xdr:colOff>
      <xdr:row>10</xdr:row>
      <xdr:rowOff>14287</xdr:rowOff>
    </xdr:from>
    <xdr:to>
      <xdr:col>8</xdr:col>
      <xdr:colOff>380999</xdr:colOff>
      <xdr:row>11</xdr:row>
      <xdr:rowOff>66675</xdr:rowOff>
    </xdr:to>
    <xdr:sp macro="" textlink="'Analysis-3'!K30">
      <xdr:nvSpPr>
        <xdr:cNvPr id="47" name="TextBox 46"/>
        <xdr:cNvSpPr txBox="1"/>
      </xdr:nvSpPr>
      <xdr:spPr>
        <a:xfrm>
          <a:off x="4952999" y="1919287"/>
          <a:ext cx="2257425" cy="242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B75B8F5-C5C7-4A4B-B3CD-D31238B544AA}" type="TxLink">
            <a:rPr lang="en-US" sz="1200" b="1" i="0" u="none" strike="noStrike">
              <a:solidFill>
                <a:schemeClr val="tx1">
                  <a:lumMod val="75000"/>
                  <a:lumOff val="25000"/>
                </a:schemeClr>
              </a:solidFill>
              <a:latin typeface="+mn-lt"/>
              <a:cs typeface="Calibri"/>
            </a:rPr>
            <a:pPr algn="r"/>
            <a:t> Top 5 Profitable Location</a:t>
          </a:fld>
          <a:endParaRPr lang="en-US" sz="1200" b="1">
            <a:solidFill>
              <a:schemeClr val="tx1">
                <a:lumMod val="75000"/>
                <a:lumOff val="25000"/>
              </a:schemeClr>
            </a:solidFill>
            <a:latin typeface="+mn-lt"/>
          </a:endParaRPr>
        </a:p>
      </xdr:txBody>
    </xdr:sp>
    <xdr:clientData/>
  </xdr:twoCellAnchor>
  <xdr:twoCellAnchor>
    <xdr:from>
      <xdr:col>5</xdr:col>
      <xdr:colOff>554356</xdr:colOff>
      <xdr:row>10</xdr:row>
      <xdr:rowOff>95250</xdr:rowOff>
    </xdr:from>
    <xdr:to>
      <xdr:col>5</xdr:col>
      <xdr:colOff>647700</xdr:colOff>
      <xdr:row>11</xdr:row>
      <xdr:rowOff>0</xdr:rowOff>
    </xdr:to>
    <xdr:sp macro="" textlink="">
      <xdr:nvSpPr>
        <xdr:cNvPr id="38" name="Oval 37"/>
        <xdr:cNvSpPr/>
      </xdr:nvSpPr>
      <xdr:spPr>
        <a:xfrm>
          <a:off x="5297806" y="2000250"/>
          <a:ext cx="93344" cy="95250"/>
        </a:xfrm>
        <a:prstGeom prst="ellipse">
          <a:avLst/>
        </a:prstGeom>
        <a:solidFill>
          <a:schemeClr val="tx1">
            <a:lumMod val="65000"/>
            <a:lumOff val="35000"/>
            <a:alpha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561975</xdr:colOff>
      <xdr:row>10</xdr:row>
      <xdr:rowOff>176211</xdr:rowOff>
    </xdr:from>
    <xdr:to>
      <xdr:col>6</xdr:col>
      <xdr:colOff>523876</xdr:colOff>
      <xdr:row>13</xdr:row>
      <xdr:rowOff>47625</xdr:rowOff>
    </xdr:to>
    <xdr:sp macro="" textlink="'Analysis-3'!K31">
      <xdr:nvSpPr>
        <xdr:cNvPr id="50" name="TextBox 49"/>
        <xdr:cNvSpPr txBox="1"/>
      </xdr:nvSpPr>
      <xdr:spPr>
        <a:xfrm>
          <a:off x="5305425" y="2081211"/>
          <a:ext cx="828676" cy="442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9D25663-7DCA-4737-AD61-E3A16A154411}" type="TxLink">
            <a:rPr lang="en-US" sz="1050" b="1" i="0" u="none" strike="noStrike">
              <a:solidFill>
                <a:srgbClr val="000000"/>
              </a:solidFill>
              <a:latin typeface="Calibri"/>
              <a:cs typeface="Calibri"/>
            </a:rPr>
            <a:pPr algn="l"/>
            <a:t> Customer Overtime</a:t>
          </a:fld>
          <a:endParaRPr lang="en-US" sz="1050" b="1">
            <a:solidFill>
              <a:schemeClr val="tx1">
                <a:lumMod val="75000"/>
                <a:lumOff val="25000"/>
              </a:schemeClr>
            </a:solidFill>
          </a:endParaRPr>
        </a:p>
      </xdr:txBody>
    </xdr:sp>
    <xdr:clientData/>
  </xdr:twoCellAnchor>
  <xdr:twoCellAnchor>
    <xdr:from>
      <xdr:col>7</xdr:col>
      <xdr:colOff>19050</xdr:colOff>
      <xdr:row>10</xdr:row>
      <xdr:rowOff>157161</xdr:rowOff>
    </xdr:from>
    <xdr:to>
      <xdr:col>8</xdr:col>
      <xdr:colOff>238126</xdr:colOff>
      <xdr:row>13</xdr:row>
      <xdr:rowOff>28575</xdr:rowOff>
    </xdr:to>
    <xdr:sp macro="" textlink="'Analysis-3'!K32">
      <xdr:nvSpPr>
        <xdr:cNvPr id="51" name="TextBox 50"/>
        <xdr:cNvSpPr txBox="1"/>
      </xdr:nvSpPr>
      <xdr:spPr>
        <a:xfrm>
          <a:off x="6238875" y="2062161"/>
          <a:ext cx="828676" cy="442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2EA6A2D-8226-42B2-8F32-CBB338EA4BE1}" type="TxLink">
            <a:rPr lang="en-US" sz="2800" b="1" i="0" u="none" strike="noStrike">
              <a:solidFill>
                <a:srgbClr val="1F95B3"/>
              </a:solidFill>
              <a:latin typeface="Calibri"/>
              <a:cs typeface="Calibri"/>
            </a:rPr>
            <a:pPr algn="l"/>
            <a:t>20</a:t>
          </a:fld>
          <a:endParaRPr lang="en-US" sz="2400" b="1">
            <a:solidFill>
              <a:srgbClr val="1F95B3"/>
            </a:solidFill>
          </a:endParaRPr>
        </a:p>
      </xdr:txBody>
    </xdr:sp>
    <xdr:clientData/>
  </xdr:twoCellAnchor>
  <xdr:twoCellAnchor>
    <xdr:from>
      <xdr:col>5</xdr:col>
      <xdr:colOff>582549</xdr:colOff>
      <xdr:row>11</xdr:row>
      <xdr:rowOff>47625</xdr:rowOff>
    </xdr:from>
    <xdr:to>
      <xdr:col>5</xdr:col>
      <xdr:colOff>628268</xdr:colOff>
      <xdr:row>12</xdr:row>
      <xdr:rowOff>171450</xdr:rowOff>
    </xdr:to>
    <xdr:sp macro="" textlink="">
      <xdr:nvSpPr>
        <xdr:cNvPr id="52" name="Rectangle 51"/>
        <xdr:cNvSpPr/>
      </xdr:nvSpPr>
      <xdr:spPr>
        <a:xfrm>
          <a:off x="5325999" y="2143125"/>
          <a:ext cx="45719" cy="314325"/>
        </a:xfrm>
        <a:prstGeom prst="rect">
          <a:avLst/>
        </a:prstGeom>
        <a:solidFill>
          <a:srgbClr val="1F95B3">
            <a:alpha val="4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990600</xdr:colOff>
      <xdr:row>8</xdr:row>
      <xdr:rowOff>57150</xdr:rowOff>
    </xdr:from>
    <xdr:to>
      <xdr:col>2</xdr:col>
      <xdr:colOff>228600</xdr:colOff>
      <xdr:row>21</xdr:row>
      <xdr:rowOff>47625</xdr:rowOff>
    </xdr:to>
    <xdr:sp macro="" textlink="">
      <xdr:nvSpPr>
        <xdr:cNvPr id="39" name="Round Diagonal Corner Rectangle 38"/>
        <xdr:cNvSpPr/>
      </xdr:nvSpPr>
      <xdr:spPr>
        <a:xfrm>
          <a:off x="990600" y="1581150"/>
          <a:ext cx="361950" cy="2466975"/>
        </a:xfrm>
        <a:prstGeom prst="round2DiagRect">
          <a:avLst/>
        </a:prstGeom>
        <a:gradFill flip="none" rotWithShape="1">
          <a:gsLst>
            <a:gs pos="0">
              <a:schemeClr val="accent5">
                <a:lumMod val="0"/>
                <a:lumOff val="100000"/>
              </a:schemeClr>
            </a:gs>
            <a:gs pos="27000">
              <a:srgbClr val="1F8CB3"/>
            </a:gs>
            <a:gs pos="100000">
              <a:srgbClr val="332B50"/>
            </a:gs>
          </a:gsLst>
          <a:path path="circle">
            <a:fillToRect l="100000" b="100000"/>
          </a:path>
          <a:tileRect t="-100000" r="-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2000" b="1"/>
            <a:t>Customer</a:t>
          </a:r>
          <a:r>
            <a:rPr lang="en-US" sz="2000" b="1" baseline="0"/>
            <a:t> Analysis</a:t>
          </a:r>
          <a:endParaRPr lang="en-US" sz="2000" b="1"/>
        </a:p>
      </xdr:txBody>
    </xdr:sp>
    <xdr:clientData/>
  </xdr:twoCellAnchor>
  <xdr:twoCellAnchor>
    <xdr:from>
      <xdr:col>0</xdr:col>
      <xdr:colOff>971550</xdr:colOff>
      <xdr:row>21</xdr:row>
      <xdr:rowOff>133349</xdr:rowOff>
    </xdr:from>
    <xdr:to>
      <xdr:col>2</xdr:col>
      <xdr:colOff>209550</xdr:colOff>
      <xdr:row>31</xdr:row>
      <xdr:rowOff>66674</xdr:rowOff>
    </xdr:to>
    <xdr:sp macro="" textlink="">
      <xdr:nvSpPr>
        <xdr:cNvPr id="53" name="Round Diagonal Corner Rectangle 52"/>
        <xdr:cNvSpPr/>
      </xdr:nvSpPr>
      <xdr:spPr>
        <a:xfrm>
          <a:off x="971550" y="4133849"/>
          <a:ext cx="361950" cy="1838325"/>
        </a:xfrm>
        <a:prstGeom prst="round2DiagRect">
          <a:avLst/>
        </a:prstGeom>
        <a:gradFill flip="none" rotWithShape="1">
          <a:gsLst>
            <a:gs pos="0">
              <a:schemeClr val="accent5">
                <a:lumMod val="0"/>
                <a:lumOff val="100000"/>
              </a:schemeClr>
            </a:gs>
            <a:gs pos="27000">
              <a:srgbClr val="1F8CB3"/>
            </a:gs>
            <a:gs pos="100000">
              <a:srgbClr val="332B50"/>
            </a:gs>
          </a:gsLst>
          <a:path path="circle">
            <a:fillToRect l="100000" b="100000"/>
          </a:path>
          <a:tileRect t="-100000" r="-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2000" b="1"/>
            <a:t>Time</a:t>
          </a:r>
          <a:r>
            <a:rPr lang="en-US" sz="2000" b="1" baseline="0"/>
            <a:t> Frame</a:t>
          </a:r>
          <a:endParaRPr lang="en-US" sz="2000" b="1"/>
        </a:p>
      </xdr:txBody>
    </xdr:sp>
    <xdr:clientData/>
  </xdr:twoCellAnchor>
  <xdr:twoCellAnchor>
    <xdr:from>
      <xdr:col>3</xdr:col>
      <xdr:colOff>1009649</xdr:colOff>
      <xdr:row>15</xdr:row>
      <xdr:rowOff>38100</xdr:rowOff>
    </xdr:from>
    <xdr:to>
      <xdr:col>5</xdr:col>
      <xdr:colOff>381000</xdr:colOff>
      <xdr:row>20</xdr:row>
      <xdr:rowOff>171450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1068324</xdr:colOff>
      <xdr:row>10</xdr:row>
      <xdr:rowOff>0</xdr:rowOff>
    </xdr:from>
    <xdr:to>
      <xdr:col>3</xdr:col>
      <xdr:colOff>1114043</xdr:colOff>
      <xdr:row>11</xdr:row>
      <xdr:rowOff>123825</xdr:rowOff>
    </xdr:to>
    <xdr:sp macro="" textlink="">
      <xdr:nvSpPr>
        <xdr:cNvPr id="56" name="Rectangle 55"/>
        <xdr:cNvSpPr/>
      </xdr:nvSpPr>
      <xdr:spPr>
        <a:xfrm>
          <a:off x="3220974" y="1905000"/>
          <a:ext cx="45719" cy="314325"/>
        </a:xfrm>
        <a:prstGeom prst="rect">
          <a:avLst/>
        </a:prstGeom>
        <a:solidFill>
          <a:srgbClr val="1F95B3">
            <a:alpha val="4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1085850</xdr:colOff>
      <xdr:row>9</xdr:row>
      <xdr:rowOff>119061</xdr:rowOff>
    </xdr:from>
    <xdr:to>
      <xdr:col>4</xdr:col>
      <xdr:colOff>847725</xdr:colOff>
      <xdr:row>11</xdr:row>
      <xdr:rowOff>180974</xdr:rowOff>
    </xdr:to>
    <xdr:sp macro="" textlink="">
      <xdr:nvSpPr>
        <xdr:cNvPr id="58" name="TextBox 57"/>
        <xdr:cNvSpPr txBox="1"/>
      </xdr:nvSpPr>
      <xdr:spPr>
        <a:xfrm>
          <a:off x="3238500" y="1833561"/>
          <a:ext cx="1019175" cy="442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1">
              <a:solidFill>
                <a:schemeClr val="tx1">
                  <a:lumMod val="75000"/>
                  <a:lumOff val="25000"/>
                </a:schemeClr>
              </a:solidFill>
            </a:rPr>
            <a:t>Average Customer Age</a:t>
          </a:r>
          <a:endParaRPr lang="en-US" sz="1100" b="1">
            <a:solidFill>
              <a:schemeClr val="tx1">
                <a:lumMod val="75000"/>
                <a:lumOff val="25000"/>
              </a:schemeClr>
            </a:solidFill>
          </a:endParaRPr>
        </a:p>
      </xdr:txBody>
    </xdr:sp>
    <xdr:clientData/>
  </xdr:twoCellAnchor>
  <xdr:twoCellAnchor>
    <xdr:from>
      <xdr:col>3</xdr:col>
      <xdr:colOff>1039749</xdr:colOff>
      <xdr:row>9</xdr:row>
      <xdr:rowOff>9525</xdr:rowOff>
    </xdr:from>
    <xdr:to>
      <xdr:col>3</xdr:col>
      <xdr:colOff>1133093</xdr:colOff>
      <xdr:row>9</xdr:row>
      <xdr:rowOff>104775</xdr:rowOff>
    </xdr:to>
    <xdr:sp macro="" textlink="">
      <xdr:nvSpPr>
        <xdr:cNvPr id="60" name="Oval 59"/>
        <xdr:cNvSpPr/>
      </xdr:nvSpPr>
      <xdr:spPr>
        <a:xfrm>
          <a:off x="3192399" y="1724025"/>
          <a:ext cx="93344" cy="95250"/>
        </a:xfrm>
        <a:prstGeom prst="ellipse">
          <a:avLst/>
        </a:prstGeom>
        <a:solidFill>
          <a:schemeClr val="tx1">
            <a:lumMod val="65000"/>
            <a:lumOff val="35000"/>
            <a:alpha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1085849</xdr:colOff>
      <xdr:row>8</xdr:row>
      <xdr:rowOff>123826</xdr:rowOff>
    </xdr:from>
    <xdr:to>
      <xdr:col>5</xdr:col>
      <xdr:colOff>409574</xdr:colOff>
      <xdr:row>9</xdr:row>
      <xdr:rowOff>180976</xdr:rowOff>
    </xdr:to>
    <xdr:sp macro="" textlink="">
      <xdr:nvSpPr>
        <xdr:cNvPr id="61" name="TextBox 60"/>
        <xdr:cNvSpPr txBox="1"/>
      </xdr:nvSpPr>
      <xdr:spPr>
        <a:xfrm>
          <a:off x="3238499" y="1647826"/>
          <a:ext cx="19145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200" b="1" i="0" u="none" strike="noStrike">
              <a:solidFill>
                <a:schemeClr val="tx1">
                  <a:lumMod val="75000"/>
                  <a:lumOff val="25000"/>
                </a:schemeClr>
              </a:solidFill>
              <a:latin typeface="+mn-lt"/>
              <a:ea typeface="+mn-ea"/>
              <a:cs typeface="Calibri"/>
            </a:rPr>
            <a:t>Profit by Customer Age</a:t>
          </a:r>
        </a:p>
      </xdr:txBody>
    </xdr:sp>
    <xdr:clientData/>
  </xdr:twoCellAnchor>
  <mc:AlternateContent xmlns:mc="http://schemas.openxmlformats.org/markup-compatibility/2006">
    <mc:Choice xmlns:a14="http://schemas.microsoft.com/office/drawing/2010/main" Requires="a14">
      <xdr:twoCellAnchor editAs="oneCell">
        <xdr:from>
          <xdr:col>2</xdr:col>
          <xdr:colOff>438149</xdr:colOff>
          <xdr:row>10</xdr:row>
          <xdr:rowOff>85725</xdr:rowOff>
        </xdr:from>
        <xdr:to>
          <xdr:col>3</xdr:col>
          <xdr:colOff>762000</xdr:colOff>
          <xdr:row>18</xdr:row>
          <xdr:rowOff>142875</xdr:rowOff>
        </xdr:to>
        <xdr:pic>
          <xdr:nvPicPr>
            <xdr:cNvPr id="62" name="Picture 61"/>
            <xdr:cNvPicPr>
              <a:picLocks noChangeAspect="1" noChangeArrowheads="1"/>
              <a:extLst>
                <a:ext uri="{84589F7E-364E-4C9E-8A38-B11213B215E9}">
                  <a14:cameraTool cellRange="'Gender Chart'!$C$8:$L$17" spid="_x0000_s5148"/>
                </a:ext>
              </a:extLst>
            </xdr:cNvPicPr>
          </xdr:nvPicPr>
          <xdr:blipFill>
            <a:blip xmlns:r="http://schemas.openxmlformats.org/officeDocument/2006/relationships" r:embed="rId7"/>
            <a:srcRect/>
            <a:stretch>
              <a:fillRect/>
            </a:stretch>
          </xdr:blipFill>
          <xdr:spPr bwMode="auto">
            <a:xfrm>
              <a:off x="1562099" y="1990725"/>
              <a:ext cx="1352551" cy="15811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533400</xdr:colOff>
      <xdr:row>8</xdr:row>
      <xdr:rowOff>95251</xdr:rowOff>
    </xdr:from>
    <xdr:to>
      <xdr:col>3</xdr:col>
      <xdr:colOff>866776</xdr:colOff>
      <xdr:row>9</xdr:row>
      <xdr:rowOff>152401</xdr:rowOff>
    </xdr:to>
    <xdr:sp macro="" textlink="">
      <xdr:nvSpPr>
        <xdr:cNvPr id="63" name="TextBox 62"/>
        <xdr:cNvSpPr txBox="1"/>
      </xdr:nvSpPr>
      <xdr:spPr>
        <a:xfrm>
          <a:off x="1657350" y="1619251"/>
          <a:ext cx="1362076"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200" b="1" i="0" u="none" strike="noStrike">
              <a:solidFill>
                <a:schemeClr val="tx1">
                  <a:lumMod val="75000"/>
                  <a:lumOff val="25000"/>
                </a:schemeClr>
              </a:solidFill>
              <a:latin typeface="+mn-lt"/>
              <a:ea typeface="+mn-ea"/>
              <a:cs typeface="Calibri"/>
            </a:rPr>
            <a:t>Profit by Gender</a:t>
          </a:r>
        </a:p>
      </xdr:txBody>
    </xdr:sp>
    <xdr:clientData/>
  </xdr:twoCellAnchor>
  <xdr:twoCellAnchor>
    <xdr:from>
      <xdr:col>2</xdr:col>
      <xdr:colOff>468249</xdr:colOff>
      <xdr:row>8</xdr:row>
      <xdr:rowOff>171450</xdr:rowOff>
    </xdr:from>
    <xdr:to>
      <xdr:col>2</xdr:col>
      <xdr:colOff>561593</xdr:colOff>
      <xdr:row>9</xdr:row>
      <xdr:rowOff>76200</xdr:rowOff>
    </xdr:to>
    <xdr:sp macro="" textlink="">
      <xdr:nvSpPr>
        <xdr:cNvPr id="65" name="Oval 64"/>
        <xdr:cNvSpPr/>
      </xdr:nvSpPr>
      <xdr:spPr>
        <a:xfrm>
          <a:off x="1592199" y="1695450"/>
          <a:ext cx="93344" cy="95250"/>
        </a:xfrm>
        <a:prstGeom prst="ellipse">
          <a:avLst/>
        </a:prstGeom>
        <a:solidFill>
          <a:schemeClr val="tx1">
            <a:lumMod val="65000"/>
            <a:lumOff val="35000"/>
            <a:alpha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485775</xdr:colOff>
      <xdr:row>19</xdr:row>
      <xdr:rowOff>47625</xdr:rowOff>
    </xdr:from>
    <xdr:to>
      <xdr:col>2</xdr:col>
      <xdr:colOff>552450</xdr:colOff>
      <xdr:row>19</xdr:row>
      <xdr:rowOff>123825</xdr:rowOff>
    </xdr:to>
    <xdr:sp macro="" textlink="">
      <xdr:nvSpPr>
        <xdr:cNvPr id="40" name="Rectangle 39"/>
        <xdr:cNvSpPr/>
      </xdr:nvSpPr>
      <xdr:spPr>
        <a:xfrm>
          <a:off x="1609725" y="3667125"/>
          <a:ext cx="66675" cy="76200"/>
        </a:xfrm>
        <a:prstGeom prst="rect">
          <a:avLst/>
        </a:prstGeom>
        <a:solidFill>
          <a:srgbClr val="9FE6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561975</xdr:colOff>
      <xdr:row>18</xdr:row>
      <xdr:rowOff>180975</xdr:rowOff>
    </xdr:from>
    <xdr:to>
      <xdr:col>3</xdr:col>
      <xdr:colOff>20574</xdr:colOff>
      <xdr:row>19</xdr:row>
      <xdr:rowOff>180975</xdr:rowOff>
    </xdr:to>
    <xdr:sp macro="" textlink="">
      <xdr:nvSpPr>
        <xdr:cNvPr id="66" name="TextBox 65"/>
        <xdr:cNvSpPr txBox="1"/>
      </xdr:nvSpPr>
      <xdr:spPr>
        <a:xfrm>
          <a:off x="1685925" y="3609975"/>
          <a:ext cx="487299"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050" b="1">
              <a:solidFill>
                <a:schemeClr val="tx1">
                  <a:lumMod val="65000"/>
                  <a:lumOff val="35000"/>
                </a:schemeClr>
              </a:solidFill>
            </a:rPr>
            <a:t>Male</a:t>
          </a:r>
          <a:endParaRPr lang="en-US" sz="1100" b="1">
            <a:solidFill>
              <a:schemeClr val="tx1">
                <a:lumMod val="65000"/>
                <a:lumOff val="35000"/>
              </a:schemeClr>
            </a:solidFill>
          </a:endParaRPr>
        </a:p>
      </xdr:txBody>
    </xdr:sp>
    <xdr:clientData/>
  </xdr:twoCellAnchor>
  <xdr:twoCellAnchor>
    <xdr:from>
      <xdr:col>2</xdr:col>
      <xdr:colOff>468249</xdr:colOff>
      <xdr:row>20</xdr:row>
      <xdr:rowOff>47625</xdr:rowOff>
    </xdr:from>
    <xdr:to>
      <xdr:col>2</xdr:col>
      <xdr:colOff>561593</xdr:colOff>
      <xdr:row>20</xdr:row>
      <xdr:rowOff>142875</xdr:rowOff>
    </xdr:to>
    <xdr:sp macro="" textlink="">
      <xdr:nvSpPr>
        <xdr:cNvPr id="68" name="Oval 67"/>
        <xdr:cNvSpPr/>
      </xdr:nvSpPr>
      <xdr:spPr>
        <a:xfrm>
          <a:off x="1592199" y="3857625"/>
          <a:ext cx="93344" cy="95250"/>
        </a:xfrm>
        <a:prstGeom prst="ellipse">
          <a:avLst/>
        </a:prstGeom>
        <a:solidFill>
          <a:srgbClr val="0070C0">
            <a:alpha val="8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542925</xdr:colOff>
      <xdr:row>19</xdr:row>
      <xdr:rowOff>171450</xdr:rowOff>
    </xdr:from>
    <xdr:to>
      <xdr:col>3</xdr:col>
      <xdr:colOff>133350</xdr:colOff>
      <xdr:row>21</xdr:row>
      <xdr:rowOff>19050</xdr:rowOff>
    </xdr:to>
    <xdr:sp macro="" textlink="">
      <xdr:nvSpPr>
        <xdr:cNvPr id="69" name="TextBox 68"/>
        <xdr:cNvSpPr txBox="1"/>
      </xdr:nvSpPr>
      <xdr:spPr>
        <a:xfrm>
          <a:off x="1666875" y="3790950"/>
          <a:ext cx="6191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050" b="1">
              <a:solidFill>
                <a:schemeClr val="tx1">
                  <a:lumMod val="75000"/>
                  <a:lumOff val="25000"/>
                </a:schemeClr>
              </a:solidFill>
            </a:rPr>
            <a:t>Female</a:t>
          </a:r>
          <a:endParaRPr lang="en-US" sz="1100" b="1">
            <a:solidFill>
              <a:schemeClr val="tx1">
                <a:lumMod val="75000"/>
                <a:lumOff val="25000"/>
              </a:schemeClr>
            </a:solidFill>
          </a:endParaRPr>
        </a:p>
      </xdr:txBody>
    </xdr:sp>
    <xdr:clientData/>
  </xdr:twoCellAnchor>
  <xdr:twoCellAnchor>
    <xdr:from>
      <xdr:col>2</xdr:col>
      <xdr:colOff>981075</xdr:colOff>
      <xdr:row>19</xdr:row>
      <xdr:rowOff>9525</xdr:rowOff>
    </xdr:from>
    <xdr:to>
      <xdr:col>3</xdr:col>
      <xdr:colOff>581025</xdr:colOff>
      <xdr:row>19</xdr:row>
      <xdr:rowOff>152400</xdr:rowOff>
    </xdr:to>
    <xdr:sp macro="" textlink="'Gender Chart'!P4">
      <xdr:nvSpPr>
        <xdr:cNvPr id="71" name="TextBox 70"/>
        <xdr:cNvSpPr txBox="1"/>
      </xdr:nvSpPr>
      <xdr:spPr>
        <a:xfrm>
          <a:off x="2105025" y="3629025"/>
          <a:ext cx="628650"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13C9D79C-D0BE-41C0-85AD-F5D3D9B784B4}" type="TxLink">
            <a:rPr lang="en-US" sz="1050" b="1" i="0" u="none" strike="noStrike">
              <a:solidFill>
                <a:srgbClr val="9FE6FF"/>
              </a:solidFill>
              <a:latin typeface="+mn-lt"/>
              <a:ea typeface="+mn-ea"/>
              <a:cs typeface="Calibri"/>
            </a:rPr>
            <a:pPr marL="0" indent="0" algn="r"/>
            <a:t>52.06%</a:t>
          </a:fld>
          <a:endParaRPr lang="en-US" sz="1050" b="1" i="0" u="none" strike="noStrike">
            <a:solidFill>
              <a:srgbClr val="9FE6FF"/>
            </a:solidFill>
            <a:latin typeface="+mn-lt"/>
            <a:ea typeface="+mn-ea"/>
            <a:cs typeface="Calibri"/>
          </a:endParaRPr>
        </a:p>
      </xdr:txBody>
    </xdr:sp>
    <xdr:clientData/>
  </xdr:twoCellAnchor>
  <xdr:twoCellAnchor>
    <xdr:from>
      <xdr:col>2</xdr:col>
      <xdr:colOff>1000125</xdr:colOff>
      <xdr:row>20</xdr:row>
      <xdr:rowOff>28575</xdr:rowOff>
    </xdr:from>
    <xdr:to>
      <xdr:col>3</xdr:col>
      <xdr:colOff>600075</xdr:colOff>
      <xdr:row>20</xdr:row>
      <xdr:rowOff>152400</xdr:rowOff>
    </xdr:to>
    <xdr:sp macro="" textlink="'Gender Chart'!P5">
      <xdr:nvSpPr>
        <xdr:cNvPr id="72" name="TextBox 71"/>
        <xdr:cNvSpPr txBox="1"/>
      </xdr:nvSpPr>
      <xdr:spPr>
        <a:xfrm>
          <a:off x="2124075" y="3838575"/>
          <a:ext cx="628650" cy="123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0D76A232-4323-4E53-A1B5-EB70CFC5058C}" type="TxLink">
            <a:rPr lang="en-US" sz="1050" b="1" i="0" u="none" strike="noStrike">
              <a:solidFill>
                <a:srgbClr val="0070C0"/>
              </a:solidFill>
              <a:latin typeface="+mn-lt"/>
              <a:ea typeface="+mn-ea"/>
              <a:cs typeface="Calibri"/>
            </a:rPr>
            <a:pPr marL="0" indent="0" algn="r"/>
            <a:t>47.94%</a:t>
          </a:fld>
          <a:endParaRPr lang="en-US" sz="1050" b="1" i="0" u="none" strike="noStrike">
            <a:solidFill>
              <a:srgbClr val="0070C0"/>
            </a:solidFill>
            <a:latin typeface="+mn-lt"/>
            <a:ea typeface="+mn-ea"/>
            <a:cs typeface="Calibri"/>
          </a:endParaRPr>
        </a:p>
      </xdr:txBody>
    </xdr:sp>
    <xdr:clientData/>
  </xdr:twoCellAnchor>
  <xdr:twoCellAnchor>
    <xdr:from>
      <xdr:col>2</xdr:col>
      <xdr:colOff>266701</xdr:colOff>
      <xdr:row>21</xdr:row>
      <xdr:rowOff>133350</xdr:rowOff>
    </xdr:from>
    <xdr:to>
      <xdr:col>6</xdr:col>
      <xdr:colOff>180976</xdr:colOff>
      <xdr:row>31</xdr:row>
      <xdr:rowOff>28575</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523875</xdr:colOff>
      <xdr:row>21</xdr:row>
      <xdr:rowOff>161926</xdr:rowOff>
    </xdr:from>
    <xdr:to>
      <xdr:col>5</xdr:col>
      <xdr:colOff>809625</xdr:colOff>
      <xdr:row>23</xdr:row>
      <xdr:rowOff>28576</xdr:rowOff>
    </xdr:to>
    <xdr:sp macro="" textlink="">
      <xdr:nvSpPr>
        <xdr:cNvPr id="73" name="TextBox 72"/>
        <xdr:cNvSpPr txBox="1"/>
      </xdr:nvSpPr>
      <xdr:spPr>
        <a:xfrm>
          <a:off x="1171575" y="4162426"/>
          <a:ext cx="39052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200" b="1" i="0" u="none" strike="noStrike">
              <a:solidFill>
                <a:schemeClr val="bg1">
                  <a:lumMod val="75000"/>
                </a:schemeClr>
              </a:solidFill>
              <a:latin typeface="+mn-lt"/>
              <a:ea typeface="+mn-ea"/>
              <a:cs typeface="Calibri"/>
            </a:rPr>
            <a:t>Profit Trend</a:t>
          </a:r>
          <a:r>
            <a:rPr lang="en-US" sz="1200" b="1" i="0" u="none" strike="noStrike" baseline="0">
              <a:solidFill>
                <a:schemeClr val="bg1">
                  <a:lumMod val="75000"/>
                </a:schemeClr>
              </a:solidFill>
              <a:latin typeface="+mn-lt"/>
              <a:ea typeface="+mn-ea"/>
              <a:cs typeface="Calibri"/>
            </a:rPr>
            <a:t> and </a:t>
          </a:r>
          <a:r>
            <a:rPr lang="en-US" sz="1200" b="1" i="0" u="none" strike="noStrike" baseline="0">
              <a:solidFill>
                <a:schemeClr val="tx1">
                  <a:lumMod val="75000"/>
                  <a:lumOff val="25000"/>
                </a:schemeClr>
              </a:solidFill>
              <a:latin typeface="+mn-lt"/>
              <a:ea typeface="+mn-ea"/>
              <a:cs typeface="Calibri"/>
            </a:rPr>
            <a:t>MoM Growth Rate</a:t>
          </a:r>
          <a:endParaRPr lang="en-US" sz="1200" b="1" i="0" u="none" strike="noStrike">
            <a:solidFill>
              <a:schemeClr val="tx1">
                <a:lumMod val="75000"/>
                <a:lumOff val="25000"/>
              </a:schemeClr>
            </a:solidFill>
            <a:latin typeface="+mn-lt"/>
            <a:ea typeface="+mn-ea"/>
            <a:cs typeface="Calibri"/>
          </a:endParaRPr>
        </a:p>
      </xdr:txBody>
    </xdr:sp>
    <xdr:clientData/>
  </xdr:twoCellAnchor>
  <xdr:twoCellAnchor>
    <xdr:from>
      <xdr:col>6</xdr:col>
      <xdr:colOff>228601</xdr:colOff>
      <xdr:row>23</xdr:row>
      <xdr:rowOff>57150</xdr:rowOff>
    </xdr:from>
    <xdr:to>
      <xdr:col>11</xdr:col>
      <xdr:colOff>38101</xdr:colOff>
      <xdr:row>31</xdr:row>
      <xdr:rowOff>57150</xdr:rowOff>
    </xdr:to>
    <xdr:graphicFrame macro="">
      <xdr:nvGraphicFramePr>
        <xdr:cNvPr id="74" name="Chart 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468250</xdr:colOff>
      <xdr:row>21</xdr:row>
      <xdr:rowOff>161925</xdr:rowOff>
    </xdr:from>
    <xdr:to>
      <xdr:col>10</xdr:col>
      <xdr:colOff>504826</xdr:colOff>
      <xdr:row>22</xdr:row>
      <xdr:rowOff>171450</xdr:rowOff>
    </xdr:to>
    <xdr:sp macro="" textlink="">
      <xdr:nvSpPr>
        <xdr:cNvPr id="75" name="TextBox 74"/>
        <xdr:cNvSpPr txBox="1"/>
      </xdr:nvSpPr>
      <xdr:spPr>
        <a:xfrm>
          <a:off x="5602225" y="4162425"/>
          <a:ext cx="2474976"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200" b="1" i="0" u="none" strike="noStrike">
              <a:solidFill>
                <a:schemeClr val="tx1">
                  <a:lumMod val="65000"/>
                  <a:lumOff val="35000"/>
                </a:schemeClr>
              </a:solidFill>
              <a:latin typeface="+mn-lt"/>
              <a:ea typeface="+mn-ea"/>
              <a:cs typeface="Calibri"/>
            </a:rPr>
            <a:t>Profit by Weekday</a:t>
          </a:r>
        </a:p>
      </xdr:txBody>
    </xdr:sp>
    <xdr:clientData/>
  </xdr:twoCellAnchor>
  <xdr:twoCellAnchor>
    <xdr:from>
      <xdr:col>6</xdr:col>
      <xdr:colOff>392049</xdr:colOff>
      <xdr:row>22</xdr:row>
      <xdr:rowOff>38100</xdr:rowOff>
    </xdr:from>
    <xdr:to>
      <xdr:col>6</xdr:col>
      <xdr:colOff>485393</xdr:colOff>
      <xdr:row>22</xdr:row>
      <xdr:rowOff>133350</xdr:rowOff>
    </xdr:to>
    <xdr:sp macro="" textlink="">
      <xdr:nvSpPr>
        <xdr:cNvPr id="76" name="Oval 75"/>
        <xdr:cNvSpPr/>
      </xdr:nvSpPr>
      <xdr:spPr>
        <a:xfrm>
          <a:off x="5526024" y="4229100"/>
          <a:ext cx="93344" cy="95250"/>
        </a:xfrm>
        <a:prstGeom prst="ellipse">
          <a:avLst/>
        </a:prstGeom>
        <a:solidFill>
          <a:schemeClr val="tx1">
            <a:lumMod val="65000"/>
            <a:lumOff val="35000"/>
            <a:alpha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twoCellAnchor>
    <xdr:from>
      <xdr:col>11</xdr:col>
      <xdr:colOff>333375</xdr:colOff>
      <xdr:row>4</xdr:row>
      <xdr:rowOff>104775</xdr:rowOff>
    </xdr:from>
    <xdr:to>
      <xdr:col>13</xdr:col>
      <xdr:colOff>171450</xdr:colOff>
      <xdr:row>5</xdr:row>
      <xdr:rowOff>76200</xdr:rowOff>
    </xdr:to>
    <xdr:sp macro="" textlink="">
      <xdr:nvSpPr>
        <xdr:cNvPr id="77" name="TextBox 76"/>
        <xdr:cNvSpPr txBox="1"/>
      </xdr:nvSpPr>
      <xdr:spPr>
        <a:xfrm>
          <a:off x="8515350" y="866775"/>
          <a:ext cx="1057275" cy="16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200" b="1" i="0" u="none" strike="noStrike">
              <a:solidFill>
                <a:srgbClr val="3399FF"/>
              </a:solidFill>
              <a:latin typeface="+mn-lt"/>
              <a:ea typeface="+mn-ea"/>
              <a:cs typeface="Calibri"/>
            </a:rPr>
            <a:t>Product Sold</a:t>
          </a:r>
        </a:p>
      </xdr:txBody>
    </xdr:sp>
    <xdr:clientData/>
  </xdr:twoCellAnchor>
  <xdr:twoCellAnchor>
    <xdr:from>
      <xdr:col>11</xdr:col>
      <xdr:colOff>333375</xdr:colOff>
      <xdr:row>5</xdr:row>
      <xdr:rowOff>66674</xdr:rowOff>
    </xdr:from>
    <xdr:to>
      <xdr:col>13</xdr:col>
      <xdr:colOff>123824</xdr:colOff>
      <xdr:row>7</xdr:row>
      <xdr:rowOff>180975</xdr:rowOff>
    </xdr:to>
    <xdr:sp macro="" textlink="">
      <xdr:nvSpPr>
        <xdr:cNvPr id="79" name="TextBox 78"/>
        <xdr:cNvSpPr txBox="1"/>
      </xdr:nvSpPr>
      <xdr:spPr>
        <a:xfrm>
          <a:off x="8515350" y="1019174"/>
          <a:ext cx="1009649" cy="495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200" b="1" i="0" u="none" strike="noStrike">
              <a:solidFill>
                <a:srgbClr val="3399FF"/>
              </a:solidFill>
              <a:latin typeface="+mn-lt"/>
              <a:ea typeface="+mn-ea"/>
              <a:cs typeface="Calibri"/>
            </a:rPr>
            <a:t>Product Return</a:t>
          </a:r>
          <a:r>
            <a:rPr lang="en-US" sz="1200" b="1" i="0" u="none" strike="noStrike" baseline="0">
              <a:solidFill>
                <a:srgbClr val="3399FF"/>
              </a:solidFill>
              <a:latin typeface="+mn-lt"/>
              <a:ea typeface="+mn-ea"/>
              <a:cs typeface="Calibri"/>
            </a:rPr>
            <a:t> Rate</a:t>
          </a:r>
          <a:endParaRPr lang="en-US" sz="1200" b="1" i="0" u="none" strike="noStrike">
            <a:solidFill>
              <a:srgbClr val="3399FF"/>
            </a:solidFill>
            <a:latin typeface="+mn-lt"/>
            <a:ea typeface="+mn-ea"/>
            <a:cs typeface="Calibri"/>
          </a:endParaRPr>
        </a:p>
      </xdr:txBody>
    </xdr:sp>
    <xdr:clientData/>
  </xdr:twoCellAnchor>
  <xdr:twoCellAnchor>
    <xdr:from>
      <xdr:col>11</xdr:col>
      <xdr:colOff>361951</xdr:colOff>
      <xdr:row>7</xdr:row>
      <xdr:rowOff>152400</xdr:rowOff>
    </xdr:from>
    <xdr:to>
      <xdr:col>13</xdr:col>
      <xdr:colOff>228601</xdr:colOff>
      <xdr:row>10</xdr:row>
      <xdr:rowOff>76200</xdr:rowOff>
    </xdr:to>
    <xdr:sp macro="" textlink="">
      <xdr:nvSpPr>
        <xdr:cNvPr id="80" name="TextBox 79"/>
        <xdr:cNvSpPr txBox="1"/>
      </xdr:nvSpPr>
      <xdr:spPr>
        <a:xfrm>
          <a:off x="8543926" y="1485900"/>
          <a:ext cx="10858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200" b="1" i="0" u="none" strike="noStrike">
              <a:solidFill>
                <a:srgbClr val="3399FF"/>
              </a:solidFill>
              <a:latin typeface="+mn-lt"/>
              <a:ea typeface="+mn-ea"/>
              <a:cs typeface="Calibri"/>
            </a:rPr>
            <a:t>Product Refund</a:t>
          </a:r>
          <a:r>
            <a:rPr lang="en-US" sz="1200" b="1" i="0" u="none" strike="noStrike" baseline="0">
              <a:solidFill>
                <a:srgbClr val="3399FF"/>
              </a:solidFill>
              <a:latin typeface="+mn-lt"/>
              <a:ea typeface="+mn-ea"/>
              <a:cs typeface="Calibri"/>
            </a:rPr>
            <a:t> Rate</a:t>
          </a:r>
          <a:endParaRPr lang="en-US" sz="1200" b="1" i="0" u="none" strike="noStrike">
            <a:solidFill>
              <a:srgbClr val="3399FF"/>
            </a:solidFill>
            <a:latin typeface="+mn-lt"/>
            <a:ea typeface="+mn-ea"/>
            <a:cs typeface="Calibri"/>
          </a:endParaRPr>
        </a:p>
      </xdr:txBody>
    </xdr:sp>
    <xdr:clientData/>
  </xdr:twoCellAnchor>
  <xdr:twoCellAnchor>
    <xdr:from>
      <xdr:col>11</xdr:col>
      <xdr:colOff>285750</xdr:colOff>
      <xdr:row>4</xdr:row>
      <xdr:rowOff>152400</xdr:rowOff>
    </xdr:from>
    <xdr:to>
      <xdr:col>11</xdr:col>
      <xdr:colOff>379094</xdr:colOff>
      <xdr:row>5</xdr:row>
      <xdr:rowOff>57150</xdr:rowOff>
    </xdr:to>
    <xdr:sp macro="" textlink="">
      <xdr:nvSpPr>
        <xdr:cNvPr id="82" name="Oval 81"/>
        <xdr:cNvSpPr/>
      </xdr:nvSpPr>
      <xdr:spPr>
        <a:xfrm>
          <a:off x="8467725" y="914400"/>
          <a:ext cx="93344" cy="95250"/>
        </a:xfrm>
        <a:prstGeom prst="ellipse">
          <a:avLst/>
        </a:prstGeom>
        <a:solidFill>
          <a:schemeClr val="bg1">
            <a:lumMod val="85000"/>
            <a:alpha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304801</xdr:colOff>
      <xdr:row>5</xdr:row>
      <xdr:rowOff>161924</xdr:rowOff>
    </xdr:from>
    <xdr:to>
      <xdr:col>11</xdr:col>
      <xdr:colOff>350520</xdr:colOff>
      <xdr:row>7</xdr:row>
      <xdr:rowOff>95249</xdr:rowOff>
    </xdr:to>
    <xdr:sp macro="" textlink="">
      <xdr:nvSpPr>
        <xdr:cNvPr id="83" name="Rectangle 82"/>
        <xdr:cNvSpPr/>
      </xdr:nvSpPr>
      <xdr:spPr>
        <a:xfrm>
          <a:off x="8486776" y="1114424"/>
          <a:ext cx="45719" cy="314325"/>
        </a:xfrm>
        <a:prstGeom prst="rect">
          <a:avLst/>
        </a:prstGeom>
        <a:solidFill>
          <a:srgbClr val="1F95B3">
            <a:alpha val="4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304801</xdr:colOff>
      <xdr:row>8</xdr:row>
      <xdr:rowOff>38099</xdr:rowOff>
    </xdr:from>
    <xdr:to>
      <xdr:col>11</xdr:col>
      <xdr:colOff>352425</xdr:colOff>
      <xdr:row>10</xdr:row>
      <xdr:rowOff>19050</xdr:rowOff>
    </xdr:to>
    <xdr:sp macro="" textlink="">
      <xdr:nvSpPr>
        <xdr:cNvPr id="84" name="Rectangle 83"/>
        <xdr:cNvSpPr/>
      </xdr:nvSpPr>
      <xdr:spPr>
        <a:xfrm>
          <a:off x="8486776" y="1562099"/>
          <a:ext cx="47624" cy="361951"/>
        </a:xfrm>
        <a:prstGeom prst="rect">
          <a:avLst/>
        </a:prstGeom>
        <a:solidFill>
          <a:srgbClr val="1F95B3">
            <a:alpha val="4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476250</xdr:colOff>
      <xdr:row>4</xdr:row>
      <xdr:rowOff>76200</xdr:rowOff>
    </xdr:from>
    <xdr:to>
      <xdr:col>14</xdr:col>
      <xdr:colOff>447675</xdr:colOff>
      <xdr:row>5</xdr:row>
      <xdr:rowOff>152400</xdr:rowOff>
    </xdr:to>
    <xdr:sp macro="" textlink="'Analysis-3'!AO32">
      <xdr:nvSpPr>
        <xdr:cNvPr id="85" name="TextBox 84"/>
        <xdr:cNvSpPr txBox="1"/>
      </xdr:nvSpPr>
      <xdr:spPr>
        <a:xfrm>
          <a:off x="9877425" y="838200"/>
          <a:ext cx="5810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A6A7936-04EB-4DEC-85D0-F1E90EF6D21E}" type="TxLink">
            <a:rPr lang="en-US" sz="1400" b="1" i="0" u="none" strike="noStrike">
              <a:solidFill>
                <a:schemeClr val="bg1"/>
              </a:solidFill>
              <a:latin typeface="Calibri"/>
              <a:ea typeface="+mn-ea"/>
              <a:cs typeface="Calibri"/>
            </a:rPr>
            <a:pPr marL="0" indent="0" algn="l"/>
            <a:t>100</a:t>
          </a:fld>
          <a:endParaRPr lang="en-US" sz="1400" b="1" i="0" u="none" strike="noStrike">
            <a:solidFill>
              <a:schemeClr val="bg1"/>
            </a:solidFill>
            <a:latin typeface="Calibri"/>
            <a:ea typeface="+mn-ea"/>
            <a:cs typeface="Calibri"/>
          </a:endParaRPr>
        </a:p>
      </xdr:txBody>
    </xdr:sp>
    <xdr:clientData/>
  </xdr:twoCellAnchor>
  <xdr:twoCellAnchor>
    <xdr:from>
      <xdr:col>13</xdr:col>
      <xdr:colOff>466725</xdr:colOff>
      <xdr:row>6</xdr:row>
      <xdr:rowOff>38100</xdr:rowOff>
    </xdr:from>
    <xdr:to>
      <xdr:col>15</xdr:col>
      <xdr:colOff>0</xdr:colOff>
      <xdr:row>7</xdr:row>
      <xdr:rowOff>114300</xdr:rowOff>
    </xdr:to>
    <xdr:sp macro="" textlink="'Analysis-3'!AP32">
      <xdr:nvSpPr>
        <xdr:cNvPr id="86" name="TextBox 85"/>
        <xdr:cNvSpPr txBox="1"/>
      </xdr:nvSpPr>
      <xdr:spPr>
        <a:xfrm>
          <a:off x="9867900" y="1181100"/>
          <a:ext cx="7524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933B29F-B5AC-4C20-B651-E55A343F9E2F}" type="TxLink">
            <a:rPr lang="en-US" sz="1400" b="1" i="0" u="none" strike="noStrike">
              <a:solidFill>
                <a:schemeClr val="bg1"/>
              </a:solidFill>
              <a:latin typeface="Calibri"/>
              <a:ea typeface="+mn-ea"/>
              <a:cs typeface="Calibri"/>
            </a:rPr>
            <a:pPr marL="0" indent="0" algn="l"/>
            <a:t>8.21%</a:t>
          </a:fld>
          <a:endParaRPr lang="en-US" sz="1400" b="1" i="0" u="none" strike="noStrike">
            <a:solidFill>
              <a:schemeClr val="bg1"/>
            </a:solidFill>
            <a:latin typeface="Calibri"/>
            <a:ea typeface="+mn-ea"/>
            <a:cs typeface="Calibri"/>
          </a:endParaRPr>
        </a:p>
      </xdr:txBody>
    </xdr:sp>
    <xdr:clientData/>
  </xdr:twoCellAnchor>
  <xdr:twoCellAnchor>
    <xdr:from>
      <xdr:col>13</xdr:col>
      <xdr:colOff>466725</xdr:colOff>
      <xdr:row>8</xdr:row>
      <xdr:rowOff>38100</xdr:rowOff>
    </xdr:from>
    <xdr:to>
      <xdr:col>15</xdr:col>
      <xdr:colOff>28575</xdr:colOff>
      <xdr:row>9</xdr:row>
      <xdr:rowOff>114300</xdr:rowOff>
    </xdr:to>
    <xdr:sp macro="" textlink="'Analysis-3'!AQ32">
      <xdr:nvSpPr>
        <xdr:cNvPr id="87" name="TextBox 86"/>
        <xdr:cNvSpPr txBox="1"/>
      </xdr:nvSpPr>
      <xdr:spPr>
        <a:xfrm>
          <a:off x="9867900" y="1562100"/>
          <a:ext cx="7810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29E6C9C-412B-4773-A20C-F7057FA679A1}" type="TxLink">
            <a:rPr lang="en-US" sz="1400" b="1" i="0" u="none" strike="noStrike">
              <a:solidFill>
                <a:schemeClr val="bg1"/>
              </a:solidFill>
              <a:latin typeface="Calibri"/>
              <a:ea typeface="+mn-ea"/>
              <a:cs typeface="Calibri"/>
            </a:rPr>
            <a:pPr marL="0" indent="0" algn="l"/>
            <a:t>8.22%</a:t>
          </a:fld>
          <a:endParaRPr lang="en-US" sz="1400" b="1" i="0" u="none" strike="noStrike">
            <a:solidFill>
              <a:schemeClr val="bg1"/>
            </a:solidFill>
            <a:latin typeface="Calibri"/>
            <a:ea typeface="+mn-ea"/>
            <a:cs typeface="Calibri"/>
          </a:endParaRPr>
        </a:p>
      </xdr:txBody>
    </xdr:sp>
    <xdr:clientData/>
  </xdr:twoCellAnchor>
  <xdr:twoCellAnchor>
    <xdr:from>
      <xdr:col>11</xdr:col>
      <xdr:colOff>161924</xdr:colOff>
      <xdr:row>11</xdr:row>
      <xdr:rowOff>47625</xdr:rowOff>
    </xdr:from>
    <xdr:to>
      <xdr:col>12</xdr:col>
      <xdr:colOff>133349</xdr:colOff>
      <xdr:row>12</xdr:row>
      <xdr:rowOff>9525</xdr:rowOff>
    </xdr:to>
    <xdr:sp macro="" textlink="">
      <xdr:nvSpPr>
        <xdr:cNvPr id="88" name="TextBox 87"/>
        <xdr:cNvSpPr txBox="1"/>
      </xdr:nvSpPr>
      <xdr:spPr>
        <a:xfrm>
          <a:off x="8343899" y="2143125"/>
          <a:ext cx="581025"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050" b="1">
              <a:solidFill>
                <a:schemeClr val="bg1">
                  <a:lumMod val="95000"/>
                </a:schemeClr>
              </a:solidFill>
            </a:rPr>
            <a:t>Profit</a:t>
          </a:r>
          <a:endParaRPr lang="en-US" sz="1100" b="1">
            <a:solidFill>
              <a:schemeClr val="bg1">
                <a:lumMod val="95000"/>
              </a:schemeClr>
            </a:solidFill>
          </a:endParaRPr>
        </a:p>
      </xdr:txBody>
    </xdr:sp>
    <xdr:clientData/>
  </xdr:twoCellAnchor>
  <xdr:twoCellAnchor>
    <xdr:from>
      <xdr:col>13</xdr:col>
      <xdr:colOff>361949</xdr:colOff>
      <xdr:row>11</xdr:row>
      <xdr:rowOff>19049</xdr:rowOff>
    </xdr:from>
    <xdr:to>
      <xdr:col>14</xdr:col>
      <xdr:colOff>447675</xdr:colOff>
      <xdr:row>11</xdr:row>
      <xdr:rowOff>180974</xdr:rowOff>
    </xdr:to>
    <xdr:sp macro="" textlink="">
      <xdr:nvSpPr>
        <xdr:cNvPr id="89" name="TextBox 88"/>
        <xdr:cNvSpPr txBox="1"/>
      </xdr:nvSpPr>
      <xdr:spPr>
        <a:xfrm>
          <a:off x="9763124" y="2114549"/>
          <a:ext cx="695326" cy="16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050" b="1">
              <a:solidFill>
                <a:schemeClr val="bg1">
                  <a:lumMod val="95000"/>
                </a:schemeClr>
              </a:solidFill>
            </a:rPr>
            <a:t>Quantity</a:t>
          </a:r>
          <a:endParaRPr lang="en-US" sz="1100" b="1">
            <a:solidFill>
              <a:schemeClr val="bg1">
                <a:lumMod val="95000"/>
              </a:schemeClr>
            </a:solidFill>
          </a:endParaRPr>
        </a:p>
      </xdr:txBody>
    </xdr:sp>
    <xdr:clientData/>
  </xdr:twoCellAnchor>
  <mc:AlternateContent xmlns:mc="http://schemas.openxmlformats.org/markup-compatibility/2006">
    <mc:Choice xmlns:a14="http://schemas.microsoft.com/office/drawing/2010/main" Requires="a14">
      <xdr:twoCellAnchor editAs="oneCell">
        <xdr:from>
          <xdr:col>12</xdr:col>
          <xdr:colOff>47625</xdr:colOff>
          <xdr:row>11</xdr:row>
          <xdr:rowOff>9525</xdr:rowOff>
        </xdr:from>
        <xdr:to>
          <xdr:col>12</xdr:col>
          <xdr:colOff>352425</xdr:colOff>
          <xdr:row>12</xdr:row>
          <xdr:rowOff>38100</xdr:rowOff>
        </xdr:to>
        <xdr:sp macro="" textlink="">
          <xdr:nvSpPr>
            <xdr:cNvPr id="5132" name="Option Button 12" hidden="1">
              <a:extLst>
                <a:ext uri="{63B3BB69-23CF-44E3-9099-C40C66FF867C}">
                  <a14:compatExt spid="_x0000_s5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352425</xdr:colOff>
          <xdr:row>10</xdr:row>
          <xdr:rowOff>180975</xdr:rowOff>
        </xdr:from>
        <xdr:to>
          <xdr:col>15</xdr:col>
          <xdr:colOff>47625</xdr:colOff>
          <xdr:row>12</xdr:row>
          <xdr:rowOff>19050</xdr:rowOff>
        </xdr:to>
        <xdr:sp macro="" textlink="">
          <xdr:nvSpPr>
            <xdr:cNvPr id="5133" name="Option Button 13" hidden="1">
              <a:extLst>
                <a:ext uri="{63B3BB69-23CF-44E3-9099-C40C66FF867C}">
                  <a14:compatExt spid="_x0000_s5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266700</xdr:colOff>
          <xdr:row>10</xdr:row>
          <xdr:rowOff>104775</xdr:rowOff>
        </xdr:from>
        <xdr:to>
          <xdr:col>15</xdr:col>
          <xdr:colOff>209550</xdr:colOff>
          <xdr:row>12</xdr:row>
          <xdr:rowOff>66675</xdr:rowOff>
        </xdr:to>
        <xdr:sp macro="" textlink="">
          <xdr:nvSpPr>
            <xdr:cNvPr id="5134" name="Group Box 14" hidden="1">
              <a:extLst>
                <a:ext uri="{63B3BB69-23CF-44E3-9099-C40C66FF867C}">
                  <a14:compatExt spid="_x0000_s5134"/>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11</xdr:col>
      <xdr:colOff>247650</xdr:colOff>
      <xdr:row>10</xdr:row>
      <xdr:rowOff>104775</xdr:rowOff>
    </xdr:from>
    <xdr:to>
      <xdr:col>15</xdr:col>
      <xdr:colOff>200025</xdr:colOff>
      <xdr:row>12</xdr:row>
      <xdr:rowOff>57150</xdr:rowOff>
    </xdr:to>
    <xdr:sp macro="" textlink="">
      <xdr:nvSpPr>
        <xdr:cNvPr id="48" name="Rectangle 47"/>
        <xdr:cNvSpPr/>
      </xdr:nvSpPr>
      <xdr:spPr>
        <a:xfrm>
          <a:off x="8429625" y="2009775"/>
          <a:ext cx="2390775" cy="333375"/>
        </a:xfrm>
        <a:prstGeom prst="rect">
          <a:avLst/>
        </a:prstGeom>
        <a:noFill/>
        <a:ln w="50800">
          <a:solidFill>
            <a:srgbClr val="00539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133350</xdr:colOff>
      <xdr:row>10</xdr:row>
      <xdr:rowOff>171450</xdr:rowOff>
    </xdr:from>
    <xdr:to>
      <xdr:col>16</xdr:col>
      <xdr:colOff>376213</xdr:colOff>
      <xdr:row>10</xdr:row>
      <xdr:rowOff>176036</xdr:rowOff>
    </xdr:to>
    <xdr:cxnSp macro="">
      <xdr:nvCxnSpPr>
        <xdr:cNvPr id="55" name="Straight Connector 54"/>
        <xdr:cNvCxnSpPr>
          <a:endCxn id="22" idx="7"/>
        </xdr:cNvCxnSpPr>
      </xdr:nvCxnSpPr>
      <xdr:spPr>
        <a:xfrm>
          <a:off x="8315325" y="2076450"/>
          <a:ext cx="3290863" cy="4586"/>
        </a:xfrm>
        <a:prstGeom prst="line">
          <a:avLst/>
        </a:prstGeom>
        <a:ln>
          <a:gradFill flip="none" rotWithShape="1">
            <a:gsLst>
              <a:gs pos="0">
                <a:schemeClr val="bg1">
                  <a:lumMod val="95000"/>
                  <a:alpha val="30000"/>
                </a:schemeClr>
              </a:gs>
              <a:gs pos="42000">
                <a:schemeClr val="accent1">
                  <a:lumMod val="40000"/>
                  <a:lumOff val="60000"/>
                </a:schemeClr>
              </a:gs>
              <a:gs pos="71000">
                <a:schemeClr val="bg1">
                  <a:lumMod val="95000"/>
                </a:schemeClr>
              </a:gs>
              <a:gs pos="100000">
                <a:schemeClr val="bg1">
                  <a:alpha val="30000"/>
                </a:schemeClr>
              </a:gs>
            </a:gsLst>
            <a:lin ang="54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247650</xdr:colOff>
      <xdr:row>13</xdr:row>
      <xdr:rowOff>57150</xdr:rowOff>
    </xdr:from>
    <xdr:to>
      <xdr:col>16</xdr:col>
      <xdr:colOff>57150</xdr:colOff>
      <xdr:row>21</xdr:row>
      <xdr:rowOff>171449</xdr:rowOff>
    </xdr:to>
    <xdr:graphicFrame macro="">
      <xdr:nvGraphicFramePr>
        <xdr:cNvPr id="93" name="Chart 9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361950</xdr:colOff>
      <xdr:row>12</xdr:row>
      <xdr:rowOff>57150</xdr:rowOff>
    </xdr:from>
    <xdr:to>
      <xdr:col>16</xdr:col>
      <xdr:colOff>523875</xdr:colOff>
      <xdr:row>13</xdr:row>
      <xdr:rowOff>66676</xdr:rowOff>
    </xdr:to>
    <xdr:sp macro="" textlink="'Analysis-3'!AY24">
      <xdr:nvSpPr>
        <xdr:cNvPr id="94" name="TextBox 93"/>
        <xdr:cNvSpPr txBox="1"/>
      </xdr:nvSpPr>
      <xdr:spPr>
        <a:xfrm>
          <a:off x="8543925" y="2343150"/>
          <a:ext cx="3209925" cy="20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19041A6-B4B7-4078-8C1F-BE927E9134BD}" type="TxLink">
            <a:rPr lang="en-US" sz="1200" b="1" i="0" u="none" strike="noStrike">
              <a:solidFill>
                <a:schemeClr val="bg1"/>
              </a:solidFill>
              <a:latin typeface="Calibri"/>
              <a:ea typeface="+mn-ea"/>
              <a:cs typeface="Calibri"/>
            </a:rPr>
            <a:pPr marL="0" indent="0" algn="l"/>
            <a:t> Top 5 Profitable Products</a:t>
          </a:fld>
          <a:endParaRPr lang="en-US" sz="1400" b="1" i="0" u="none" strike="noStrike">
            <a:solidFill>
              <a:schemeClr val="bg1"/>
            </a:solidFill>
            <a:latin typeface="+mn-lt"/>
            <a:ea typeface="+mn-ea"/>
            <a:cs typeface="Calibri"/>
          </a:endParaRPr>
        </a:p>
      </xdr:txBody>
    </xdr:sp>
    <xdr:clientData/>
  </xdr:twoCellAnchor>
  <xdr:twoCellAnchor>
    <xdr:from>
      <xdr:col>11</xdr:col>
      <xdr:colOff>352425</xdr:colOff>
      <xdr:row>12</xdr:row>
      <xdr:rowOff>114300</xdr:rowOff>
    </xdr:from>
    <xdr:to>
      <xdr:col>11</xdr:col>
      <xdr:colOff>445769</xdr:colOff>
      <xdr:row>13</xdr:row>
      <xdr:rowOff>19050</xdr:rowOff>
    </xdr:to>
    <xdr:sp macro="" textlink="">
      <xdr:nvSpPr>
        <xdr:cNvPr id="95" name="Oval 94"/>
        <xdr:cNvSpPr/>
      </xdr:nvSpPr>
      <xdr:spPr>
        <a:xfrm>
          <a:off x="8534400" y="2400300"/>
          <a:ext cx="93344" cy="95250"/>
        </a:xfrm>
        <a:prstGeom prst="ellipse">
          <a:avLst/>
        </a:prstGeom>
        <a:solidFill>
          <a:schemeClr val="bg1">
            <a:lumMod val="85000"/>
            <a:alpha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200025</xdr:colOff>
      <xdr:row>20</xdr:row>
      <xdr:rowOff>161925</xdr:rowOff>
    </xdr:from>
    <xdr:to>
      <xdr:col>16</xdr:col>
      <xdr:colOff>442888</xdr:colOff>
      <xdr:row>20</xdr:row>
      <xdr:rowOff>166511</xdr:rowOff>
    </xdr:to>
    <xdr:cxnSp macro="">
      <xdr:nvCxnSpPr>
        <xdr:cNvPr id="97" name="Straight Connector 96"/>
        <xdr:cNvCxnSpPr/>
      </xdr:nvCxnSpPr>
      <xdr:spPr>
        <a:xfrm>
          <a:off x="8382000" y="3971925"/>
          <a:ext cx="3290863" cy="4586"/>
        </a:xfrm>
        <a:prstGeom prst="line">
          <a:avLst/>
        </a:prstGeom>
        <a:ln>
          <a:gradFill flip="none" rotWithShape="1">
            <a:gsLst>
              <a:gs pos="0">
                <a:schemeClr val="bg1">
                  <a:lumMod val="95000"/>
                  <a:alpha val="30000"/>
                </a:schemeClr>
              </a:gs>
              <a:gs pos="42000">
                <a:schemeClr val="accent1">
                  <a:lumMod val="40000"/>
                  <a:lumOff val="60000"/>
                </a:schemeClr>
              </a:gs>
              <a:gs pos="71000">
                <a:schemeClr val="bg1">
                  <a:lumMod val="95000"/>
                </a:schemeClr>
              </a:gs>
              <a:gs pos="100000">
                <a:schemeClr val="bg1">
                  <a:alpha val="30000"/>
                </a:schemeClr>
              </a:gs>
            </a:gsLst>
            <a:lin ang="54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409575</xdr:colOff>
      <xdr:row>21</xdr:row>
      <xdr:rowOff>19050</xdr:rowOff>
    </xdr:from>
    <xdr:to>
      <xdr:col>16</xdr:col>
      <xdr:colOff>571500</xdr:colOff>
      <xdr:row>22</xdr:row>
      <xdr:rowOff>28576</xdr:rowOff>
    </xdr:to>
    <xdr:sp macro="" textlink="">
      <xdr:nvSpPr>
        <xdr:cNvPr id="98" name="TextBox 97"/>
        <xdr:cNvSpPr txBox="1"/>
      </xdr:nvSpPr>
      <xdr:spPr>
        <a:xfrm>
          <a:off x="8591550" y="4019550"/>
          <a:ext cx="3209925" cy="20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200" b="1" i="0" u="none" strike="noStrike">
              <a:solidFill>
                <a:schemeClr val="bg1"/>
              </a:solidFill>
              <a:latin typeface="Calibri"/>
              <a:ea typeface="+mn-ea"/>
              <a:cs typeface="Calibri"/>
            </a:rPr>
            <a:t>Profit by Product Category</a:t>
          </a:r>
        </a:p>
      </xdr:txBody>
    </xdr:sp>
    <xdr:clientData/>
  </xdr:twoCellAnchor>
  <xdr:twoCellAnchor>
    <xdr:from>
      <xdr:col>11</xdr:col>
      <xdr:colOff>371475</xdr:colOff>
      <xdr:row>21</xdr:row>
      <xdr:rowOff>76200</xdr:rowOff>
    </xdr:from>
    <xdr:to>
      <xdr:col>11</xdr:col>
      <xdr:colOff>464819</xdr:colOff>
      <xdr:row>21</xdr:row>
      <xdr:rowOff>171450</xdr:rowOff>
    </xdr:to>
    <xdr:sp macro="" textlink="">
      <xdr:nvSpPr>
        <xdr:cNvPr id="99" name="Oval 98"/>
        <xdr:cNvSpPr/>
      </xdr:nvSpPr>
      <xdr:spPr>
        <a:xfrm>
          <a:off x="8553450" y="4076700"/>
          <a:ext cx="93344" cy="95250"/>
        </a:xfrm>
        <a:prstGeom prst="ellipse">
          <a:avLst/>
        </a:prstGeom>
        <a:solidFill>
          <a:schemeClr val="bg1">
            <a:lumMod val="85000"/>
            <a:alpha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342900</xdr:colOff>
      <xdr:row>21</xdr:row>
      <xdr:rowOff>190499</xdr:rowOff>
    </xdr:from>
    <xdr:to>
      <xdr:col>15</xdr:col>
      <xdr:colOff>228600</xdr:colOff>
      <xdr:row>29</xdr:row>
      <xdr:rowOff>123824</xdr:rowOff>
    </xdr:to>
    <xdr:graphicFrame macro="">
      <xdr:nvGraphicFramePr>
        <xdr:cNvPr id="100" name="Chart 9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352425</xdr:colOff>
      <xdr:row>22</xdr:row>
      <xdr:rowOff>161925</xdr:rowOff>
    </xdr:from>
    <xdr:to>
      <xdr:col>13</xdr:col>
      <xdr:colOff>590550</xdr:colOff>
      <xdr:row>29</xdr:row>
      <xdr:rowOff>9525</xdr:rowOff>
    </xdr:to>
    <xdr:grpSp>
      <xdr:nvGrpSpPr>
        <xdr:cNvPr id="59" name="Group 58"/>
        <xdr:cNvGrpSpPr/>
      </xdr:nvGrpSpPr>
      <xdr:grpSpPr>
        <a:xfrm>
          <a:off x="8611961" y="4352925"/>
          <a:ext cx="1462768" cy="1181100"/>
          <a:chOff x="8534400" y="4333875"/>
          <a:chExt cx="1457325" cy="1200150"/>
        </a:xfrm>
      </xdr:grpSpPr>
      <xdr:sp macro="" textlink="">
        <xdr:nvSpPr>
          <xdr:cNvPr id="57" name="Rectangle 56"/>
          <xdr:cNvSpPr/>
        </xdr:nvSpPr>
        <xdr:spPr>
          <a:xfrm>
            <a:off x="8543925" y="4333875"/>
            <a:ext cx="1447800" cy="114300"/>
          </a:xfrm>
          <a:prstGeom prst="rect">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1" name="Rectangle 100"/>
          <xdr:cNvSpPr/>
        </xdr:nvSpPr>
        <xdr:spPr>
          <a:xfrm>
            <a:off x="8543925" y="4488996"/>
            <a:ext cx="1447800" cy="114300"/>
          </a:xfrm>
          <a:prstGeom prst="rect">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2" name="Rectangle 101"/>
          <xdr:cNvSpPr/>
        </xdr:nvSpPr>
        <xdr:spPr>
          <a:xfrm>
            <a:off x="8543925" y="4644117"/>
            <a:ext cx="1447800" cy="114300"/>
          </a:xfrm>
          <a:prstGeom prst="rect">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3" name="Rectangle 102"/>
          <xdr:cNvSpPr/>
        </xdr:nvSpPr>
        <xdr:spPr>
          <a:xfrm>
            <a:off x="8543925" y="4799238"/>
            <a:ext cx="1447800" cy="114300"/>
          </a:xfrm>
          <a:prstGeom prst="rect">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4" name="Rectangle 103"/>
          <xdr:cNvSpPr/>
        </xdr:nvSpPr>
        <xdr:spPr>
          <a:xfrm>
            <a:off x="8543925" y="4954359"/>
            <a:ext cx="1447800" cy="114300"/>
          </a:xfrm>
          <a:prstGeom prst="rect">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5" name="Rectangle 104"/>
          <xdr:cNvSpPr/>
        </xdr:nvSpPr>
        <xdr:spPr>
          <a:xfrm>
            <a:off x="8543925" y="5109480"/>
            <a:ext cx="1447800" cy="114300"/>
          </a:xfrm>
          <a:prstGeom prst="rect">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6" name="Rectangle 105"/>
          <xdr:cNvSpPr/>
        </xdr:nvSpPr>
        <xdr:spPr>
          <a:xfrm>
            <a:off x="8543925" y="5264601"/>
            <a:ext cx="1447800" cy="114300"/>
          </a:xfrm>
          <a:prstGeom prst="rect">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7" name="Rectangle 106"/>
          <xdr:cNvSpPr/>
        </xdr:nvSpPr>
        <xdr:spPr>
          <a:xfrm>
            <a:off x="8534400" y="5419725"/>
            <a:ext cx="1447800" cy="114300"/>
          </a:xfrm>
          <a:prstGeom prst="rect">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28576</xdr:colOff>
      <xdr:row>0</xdr:row>
      <xdr:rowOff>85725</xdr:rowOff>
    </xdr:from>
    <xdr:to>
      <xdr:col>13</xdr:col>
      <xdr:colOff>247651</xdr:colOff>
      <xdr:row>2</xdr:row>
      <xdr:rowOff>104775</xdr:rowOff>
    </xdr:to>
    <xdr:sp macro="" textlink="">
      <xdr:nvSpPr>
        <xdr:cNvPr id="64" name="TextBox 63"/>
        <xdr:cNvSpPr txBox="1"/>
      </xdr:nvSpPr>
      <xdr:spPr>
        <a:xfrm>
          <a:off x="676276" y="85725"/>
          <a:ext cx="89725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gradFill flip="none" rotWithShape="1">
                <a:gsLst>
                  <a:gs pos="0">
                    <a:schemeClr val="accent5">
                      <a:lumMod val="67000"/>
                    </a:schemeClr>
                  </a:gs>
                  <a:gs pos="74000">
                    <a:srgbClr val="005392"/>
                  </a:gs>
                  <a:gs pos="48000">
                    <a:srgbClr val="9FE6FF"/>
                  </a:gs>
                  <a:gs pos="100000">
                    <a:srgbClr val="005392"/>
                  </a:gs>
                </a:gsLst>
                <a:lin ang="16200000" scaled="1"/>
                <a:tileRect/>
              </a:gradFill>
            </a:rPr>
            <a:t>BUSINESS DASHBOARD</a:t>
          </a:r>
        </a:p>
      </xdr:txBody>
    </xdr:sp>
    <xdr:clientData/>
  </xdr:twoCellAnchor>
  <xdr:twoCellAnchor>
    <xdr:from>
      <xdr:col>4</xdr:col>
      <xdr:colOff>361950</xdr:colOff>
      <xdr:row>0</xdr:row>
      <xdr:rowOff>166688</xdr:rowOff>
    </xdr:from>
    <xdr:to>
      <xdr:col>4</xdr:col>
      <xdr:colOff>1266825</xdr:colOff>
      <xdr:row>2</xdr:row>
      <xdr:rowOff>23813</xdr:rowOff>
    </xdr:to>
    <xdr:sp macro="" textlink="">
      <xdr:nvSpPr>
        <xdr:cNvPr id="90" name="Rounded Rectangle 89">
          <a:hlinkClick xmlns:r="http://schemas.openxmlformats.org/officeDocument/2006/relationships" r:id="rId12"/>
        </xdr:cNvPr>
        <xdr:cNvSpPr/>
      </xdr:nvSpPr>
      <xdr:spPr>
        <a:xfrm>
          <a:off x="3295650" y="166688"/>
          <a:ext cx="904875" cy="238125"/>
        </a:xfrm>
        <a:prstGeom prst="round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Time</a:t>
          </a:r>
          <a:r>
            <a:rPr lang="en-US" sz="1100" baseline="0"/>
            <a:t> F</a:t>
          </a:r>
          <a:r>
            <a:rPr lang="en-US" sz="1100"/>
            <a:t>rame</a:t>
          </a:r>
        </a:p>
      </xdr:txBody>
    </xdr:sp>
    <xdr:clientData/>
  </xdr:twoCellAnchor>
  <xdr:twoCellAnchor>
    <xdr:from>
      <xdr:col>5</xdr:col>
      <xdr:colOff>109538</xdr:colOff>
      <xdr:row>0</xdr:row>
      <xdr:rowOff>173832</xdr:rowOff>
    </xdr:from>
    <xdr:to>
      <xdr:col>6</xdr:col>
      <xdr:colOff>147638</xdr:colOff>
      <xdr:row>2</xdr:row>
      <xdr:rowOff>30957</xdr:rowOff>
    </xdr:to>
    <xdr:sp macro="" textlink="">
      <xdr:nvSpPr>
        <xdr:cNvPr id="114" name="Rounded Rectangle 113">
          <a:hlinkClick xmlns:r="http://schemas.openxmlformats.org/officeDocument/2006/relationships" r:id="rId13"/>
        </xdr:cNvPr>
        <xdr:cNvSpPr/>
      </xdr:nvSpPr>
      <xdr:spPr>
        <a:xfrm>
          <a:off x="4376738" y="173832"/>
          <a:ext cx="904875" cy="238125"/>
        </a:xfrm>
        <a:prstGeom prst="round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Store</a:t>
          </a:r>
        </a:p>
      </xdr:txBody>
    </xdr:sp>
    <xdr:clientData/>
  </xdr:twoCellAnchor>
  <xdr:twoCellAnchor>
    <xdr:from>
      <xdr:col>6</xdr:col>
      <xdr:colOff>323850</xdr:colOff>
      <xdr:row>0</xdr:row>
      <xdr:rowOff>180975</xdr:rowOff>
    </xdr:from>
    <xdr:to>
      <xdr:col>8</xdr:col>
      <xdr:colOff>9525</xdr:colOff>
      <xdr:row>2</xdr:row>
      <xdr:rowOff>38100</xdr:rowOff>
    </xdr:to>
    <xdr:sp macro="" textlink="">
      <xdr:nvSpPr>
        <xdr:cNvPr id="115" name="Rounded Rectangle 114">
          <a:hlinkClick xmlns:r="http://schemas.openxmlformats.org/officeDocument/2006/relationships" r:id="rId14"/>
        </xdr:cNvPr>
        <xdr:cNvSpPr/>
      </xdr:nvSpPr>
      <xdr:spPr>
        <a:xfrm>
          <a:off x="5457825" y="180975"/>
          <a:ext cx="904875" cy="238125"/>
        </a:xfrm>
        <a:prstGeom prst="roundRect">
          <a:avLst/>
        </a:prstGeom>
        <a:solidFill>
          <a:srgbClr val="00539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Profit View</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0.04185</cdr:x>
      <cdr:y>0.05996</cdr:y>
    </cdr:from>
    <cdr:to>
      <cdr:x>0.06306</cdr:x>
      <cdr:y>0.11287</cdr:y>
    </cdr:to>
    <cdr:sp macro="" textlink="">
      <cdr:nvSpPr>
        <cdr:cNvPr id="2" name="Oval 1"/>
        <cdr:cNvSpPr/>
      </cdr:nvSpPr>
      <cdr:spPr>
        <a:xfrm xmlns:a="http://schemas.openxmlformats.org/drawingml/2006/main">
          <a:off x="184150" y="107950"/>
          <a:ext cx="93344" cy="95250"/>
        </a:xfrm>
        <a:prstGeom xmlns:a="http://schemas.openxmlformats.org/drawingml/2006/main" prst="ellipse">
          <a:avLst/>
        </a:prstGeom>
        <a:solidFill xmlns:a="http://schemas.openxmlformats.org/drawingml/2006/main">
          <a:schemeClr val="tx1">
            <a:lumMod val="65000"/>
            <a:lumOff val="35000"/>
            <a:alpha val="80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57150</xdr:colOff>
      <xdr:row>19</xdr:row>
      <xdr:rowOff>47625</xdr:rowOff>
    </xdr:from>
    <xdr:to>
      <xdr:col>4</xdr:col>
      <xdr:colOff>561975</xdr:colOff>
      <xdr:row>28</xdr:row>
      <xdr:rowOff>19050</xdr:rowOff>
    </xdr:to>
    <xdr:sp macro="" textlink="">
      <xdr:nvSpPr>
        <xdr:cNvPr id="48" name="Rectangle 47"/>
        <xdr:cNvSpPr/>
      </xdr:nvSpPr>
      <xdr:spPr>
        <a:xfrm>
          <a:off x="1181100" y="3667125"/>
          <a:ext cx="4124325" cy="16859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1157287</xdr:colOff>
      <xdr:row>2</xdr:row>
      <xdr:rowOff>180974</xdr:rowOff>
    </xdr:from>
    <xdr:to>
      <xdr:col>4</xdr:col>
      <xdr:colOff>538162</xdr:colOff>
      <xdr:row>18</xdr:row>
      <xdr:rowOff>171450</xdr:rowOff>
    </xdr:to>
    <xdr:sp macro="" textlink="">
      <xdr:nvSpPr>
        <xdr:cNvPr id="30" name="Rectangle 29"/>
        <xdr:cNvSpPr/>
      </xdr:nvSpPr>
      <xdr:spPr>
        <a:xfrm>
          <a:off x="3309937" y="561974"/>
          <a:ext cx="1971675" cy="30384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352425</xdr:colOff>
      <xdr:row>0</xdr:row>
      <xdr:rowOff>19050</xdr:rowOff>
    </xdr:from>
    <xdr:to>
      <xdr:col>19</xdr:col>
      <xdr:colOff>602361</xdr:colOff>
      <xdr:row>31</xdr:row>
      <xdr:rowOff>28575</xdr:rowOff>
    </xdr:to>
    <xdr:sp macro="" textlink="">
      <xdr:nvSpPr>
        <xdr:cNvPr id="2" name="Moon 1"/>
        <xdr:cNvSpPr/>
      </xdr:nvSpPr>
      <xdr:spPr>
        <a:xfrm flipH="1">
          <a:off x="10229850" y="19050"/>
          <a:ext cx="4517136" cy="5915025"/>
        </a:xfrm>
        <a:prstGeom prst="moon">
          <a:avLst/>
        </a:prstGeom>
        <a:solidFill>
          <a:schemeClr val="accent5">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409575</xdr:colOff>
      <xdr:row>0</xdr:row>
      <xdr:rowOff>0</xdr:rowOff>
    </xdr:from>
    <xdr:to>
      <xdr:col>20</xdr:col>
      <xdr:colOff>49911</xdr:colOff>
      <xdr:row>31</xdr:row>
      <xdr:rowOff>66675</xdr:rowOff>
    </xdr:to>
    <xdr:sp macro="" textlink="">
      <xdr:nvSpPr>
        <xdr:cNvPr id="4" name="Moon 3"/>
        <xdr:cNvSpPr/>
      </xdr:nvSpPr>
      <xdr:spPr>
        <a:xfrm flipH="1">
          <a:off x="10287000" y="0"/>
          <a:ext cx="4517136" cy="5972175"/>
        </a:xfrm>
        <a:prstGeom prst="moon">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28575</xdr:colOff>
      <xdr:row>0</xdr:row>
      <xdr:rowOff>0</xdr:rowOff>
    </xdr:from>
    <xdr:to>
      <xdr:col>12</xdr:col>
      <xdr:colOff>391668</xdr:colOff>
      <xdr:row>2</xdr:row>
      <xdr:rowOff>131064</xdr:rowOff>
    </xdr:to>
    <xdr:sp macro="" textlink="">
      <xdr:nvSpPr>
        <xdr:cNvPr id="5" name="Rounded Rectangle 4"/>
        <xdr:cNvSpPr/>
      </xdr:nvSpPr>
      <xdr:spPr>
        <a:xfrm>
          <a:off x="1152525" y="0"/>
          <a:ext cx="9116568" cy="512064"/>
        </a:xfrm>
        <a:prstGeom prst="roundRect">
          <a:avLst/>
        </a:prstGeom>
        <a:gradFill flip="none" rotWithShape="1">
          <a:gsLst>
            <a:gs pos="0">
              <a:schemeClr val="bg1">
                <a:lumMod val="95000"/>
              </a:schemeClr>
            </a:gs>
            <a:gs pos="35000">
              <a:schemeClr val="bg1"/>
            </a:gs>
            <a:gs pos="100000">
              <a:schemeClr val="bg1">
                <a:lumMod val="95000"/>
              </a:schemeClr>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695323</xdr:colOff>
      <xdr:row>2</xdr:row>
      <xdr:rowOff>180974</xdr:rowOff>
    </xdr:from>
    <xdr:to>
      <xdr:col>14</xdr:col>
      <xdr:colOff>35717</xdr:colOff>
      <xdr:row>28</xdr:row>
      <xdr:rowOff>11906</xdr:rowOff>
    </xdr:to>
    <xdr:sp macro="" textlink="">
      <xdr:nvSpPr>
        <xdr:cNvPr id="7" name="Round Diagonal Corner Rectangle 6"/>
        <xdr:cNvSpPr/>
      </xdr:nvSpPr>
      <xdr:spPr>
        <a:xfrm>
          <a:off x="4445792" y="561974"/>
          <a:ext cx="5674519" cy="4783932"/>
        </a:xfrm>
        <a:prstGeom prst="round2DiagRect">
          <a:avLst/>
        </a:prstGeom>
        <a:solidFill>
          <a:schemeClr val="bg1"/>
        </a:solidFill>
        <a:ln>
          <a:noFill/>
        </a:ln>
        <a:effectLst>
          <a:outerShdw blurRad="63500" sx="102000" sy="102000" algn="ctr" rotWithShape="0">
            <a:prstClr val="black">
              <a:alpha val="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140493</xdr:colOff>
      <xdr:row>15</xdr:row>
      <xdr:rowOff>185737</xdr:rowOff>
    </xdr:from>
    <xdr:to>
      <xdr:col>13</xdr:col>
      <xdr:colOff>419099</xdr:colOff>
      <xdr:row>26</xdr:row>
      <xdr:rowOff>128586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504824</xdr:colOff>
      <xdr:row>11</xdr:row>
      <xdr:rowOff>9525</xdr:rowOff>
    </xdr:from>
    <xdr:to>
      <xdr:col>13</xdr:col>
      <xdr:colOff>228600</xdr:colOff>
      <xdr:row>17</xdr:row>
      <xdr:rowOff>95250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28574</xdr:colOff>
      <xdr:row>9</xdr:row>
      <xdr:rowOff>104775</xdr:rowOff>
    </xdr:from>
    <xdr:to>
      <xdr:col>8</xdr:col>
      <xdr:colOff>304799</xdr:colOff>
      <xdr:row>10</xdr:row>
      <xdr:rowOff>180975</xdr:rowOff>
    </xdr:to>
    <xdr:sp macro="" textlink="">
      <xdr:nvSpPr>
        <xdr:cNvPr id="3" name="TextBox 2"/>
        <xdr:cNvSpPr txBox="1"/>
      </xdr:nvSpPr>
      <xdr:spPr>
        <a:xfrm>
          <a:off x="5638799" y="1819275"/>
          <a:ext cx="21050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Revenue Vs Target</a:t>
          </a:r>
          <a:r>
            <a:rPr lang="en-US" sz="1100" u="sng" baseline="0"/>
            <a:t> </a:t>
          </a:r>
          <a:r>
            <a:rPr lang="en-US" sz="1100" baseline="0"/>
            <a:t>by Month</a:t>
          </a:r>
          <a:endParaRPr lang="en-US" sz="1100"/>
        </a:p>
      </xdr:txBody>
    </xdr:sp>
    <xdr:clientData/>
  </xdr:twoCellAnchor>
  <xdr:twoCellAnchor editAs="oneCell">
    <xdr:from>
      <xdr:col>14</xdr:col>
      <xdr:colOff>130969</xdr:colOff>
      <xdr:row>3</xdr:row>
      <xdr:rowOff>33338</xdr:rowOff>
    </xdr:from>
    <xdr:to>
      <xdr:col>16</xdr:col>
      <xdr:colOff>559595</xdr:colOff>
      <xdr:row>20</xdr:row>
      <xdr:rowOff>47626</xdr:rowOff>
    </xdr:to>
    <mc:AlternateContent xmlns:mc="http://schemas.openxmlformats.org/markup-compatibility/2006">
      <mc:Choice xmlns:a14="http://schemas.microsoft.com/office/drawing/2010/main" Requires="a14">
        <xdr:graphicFrame macro="">
          <xdr:nvGraphicFramePr>
            <xdr:cNvPr id="13" name="Store Name"/>
            <xdr:cNvGraphicFramePr/>
          </xdr:nvGraphicFramePr>
          <xdr:xfrm>
            <a:off x="0" y="0"/>
            <a:ext cx="0" cy="0"/>
          </xdr:xfrm>
          <a:graphic>
            <a:graphicData uri="http://schemas.microsoft.com/office/drawing/2010/slicer">
              <sle:slicer xmlns:sle="http://schemas.microsoft.com/office/drawing/2010/slicer" name="Store Name"/>
            </a:graphicData>
          </a:graphic>
        </xdr:graphicFrame>
      </mc:Choice>
      <mc:Fallback>
        <xdr:sp macro="" textlink="">
          <xdr:nvSpPr>
            <xdr:cNvPr id="0" name=""/>
            <xdr:cNvSpPr>
              <a:spLocks noTextEdit="1"/>
            </xdr:cNvSpPr>
          </xdr:nvSpPr>
          <xdr:spPr>
            <a:xfrm>
              <a:off x="10215563" y="604838"/>
              <a:ext cx="1643063" cy="32527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37283</xdr:colOff>
      <xdr:row>5</xdr:row>
      <xdr:rowOff>76200</xdr:rowOff>
    </xdr:from>
    <xdr:to>
      <xdr:col>7</xdr:col>
      <xdr:colOff>59181</xdr:colOff>
      <xdr:row>6</xdr:row>
      <xdr:rowOff>133349</xdr:rowOff>
    </xdr:to>
    <xdr:sp macro="" textlink="">
      <xdr:nvSpPr>
        <xdr:cNvPr id="14" name="TextBox 13"/>
        <xdr:cNvSpPr txBox="1"/>
      </xdr:nvSpPr>
      <xdr:spPr>
        <a:xfrm>
          <a:off x="5647508" y="1028700"/>
          <a:ext cx="1241098"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Total</a:t>
          </a:r>
          <a:r>
            <a:rPr lang="en-US" sz="1200" b="1" baseline="0"/>
            <a:t> Revenue</a:t>
          </a:r>
          <a:endParaRPr lang="en-US" sz="1200" b="1"/>
        </a:p>
      </xdr:txBody>
    </xdr:sp>
    <xdr:clientData/>
  </xdr:twoCellAnchor>
  <xdr:twoCellAnchor>
    <xdr:from>
      <xdr:col>8</xdr:col>
      <xdr:colOff>276225</xdr:colOff>
      <xdr:row>5</xdr:row>
      <xdr:rowOff>76200</xdr:rowOff>
    </xdr:from>
    <xdr:to>
      <xdr:col>10</xdr:col>
      <xdr:colOff>95250</xdr:colOff>
      <xdr:row>6</xdr:row>
      <xdr:rowOff>133349</xdr:rowOff>
    </xdr:to>
    <xdr:sp macro="" textlink="">
      <xdr:nvSpPr>
        <xdr:cNvPr id="15" name="TextBox 14"/>
        <xdr:cNvSpPr txBox="1"/>
      </xdr:nvSpPr>
      <xdr:spPr>
        <a:xfrm>
          <a:off x="7715250" y="1028700"/>
          <a:ext cx="1038225"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Total</a:t>
          </a:r>
          <a:r>
            <a:rPr lang="en-US" sz="1200" baseline="0"/>
            <a:t> </a:t>
          </a:r>
          <a:r>
            <a:rPr lang="en-US" sz="1200" b="1" baseline="0"/>
            <a:t>Target</a:t>
          </a:r>
          <a:endParaRPr lang="en-US" sz="1200" b="1"/>
        </a:p>
      </xdr:txBody>
    </xdr:sp>
    <xdr:clientData/>
  </xdr:twoCellAnchor>
  <xdr:twoCellAnchor>
    <xdr:from>
      <xdr:col>11</xdr:col>
      <xdr:colOff>409575</xdr:colOff>
      <xdr:row>5</xdr:row>
      <xdr:rowOff>57150</xdr:rowOff>
    </xdr:from>
    <xdr:to>
      <xdr:col>13</xdr:col>
      <xdr:colOff>175040</xdr:colOff>
      <xdr:row>6</xdr:row>
      <xdr:rowOff>114299</xdr:rowOff>
    </xdr:to>
    <xdr:sp macro="" textlink="">
      <xdr:nvSpPr>
        <xdr:cNvPr id="16" name="TextBox 15"/>
        <xdr:cNvSpPr txBox="1"/>
      </xdr:nvSpPr>
      <xdr:spPr>
        <a:xfrm>
          <a:off x="9677400" y="1009650"/>
          <a:ext cx="984665"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Variance %</a:t>
          </a:r>
        </a:p>
      </xdr:txBody>
    </xdr:sp>
    <xdr:clientData/>
  </xdr:twoCellAnchor>
  <xdr:twoCellAnchor>
    <xdr:from>
      <xdr:col>5</xdr:col>
      <xdr:colOff>37283</xdr:colOff>
      <xdr:row>6</xdr:row>
      <xdr:rowOff>114300</xdr:rowOff>
    </xdr:from>
    <xdr:to>
      <xdr:col>7</xdr:col>
      <xdr:colOff>59181</xdr:colOff>
      <xdr:row>7</xdr:row>
      <xdr:rowOff>171449</xdr:rowOff>
    </xdr:to>
    <xdr:sp macro="" textlink="'Analysis-2'!T10">
      <xdr:nvSpPr>
        <xdr:cNvPr id="17" name="TextBox 16"/>
        <xdr:cNvSpPr txBox="1"/>
      </xdr:nvSpPr>
      <xdr:spPr>
        <a:xfrm>
          <a:off x="5647508" y="1257300"/>
          <a:ext cx="1241098"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E6212C-EE53-4893-92A1-30F54AB0DC12}" type="TxLink">
            <a:rPr lang="en-US" sz="1800" b="1" i="0" u="none" strike="noStrike">
              <a:solidFill>
                <a:schemeClr val="bg1">
                  <a:lumMod val="50000"/>
                </a:schemeClr>
              </a:solidFill>
              <a:latin typeface="Calibri"/>
              <a:cs typeface="Calibri"/>
            </a:rPr>
            <a:pPr algn="ctr"/>
            <a:t>$5.45M</a:t>
          </a:fld>
          <a:endParaRPr lang="en-US" sz="1800" b="1">
            <a:solidFill>
              <a:schemeClr val="bg1">
                <a:lumMod val="50000"/>
              </a:schemeClr>
            </a:solidFill>
          </a:endParaRPr>
        </a:p>
      </xdr:txBody>
    </xdr:sp>
    <xdr:clientData/>
  </xdr:twoCellAnchor>
  <xdr:twoCellAnchor>
    <xdr:from>
      <xdr:col>8</xdr:col>
      <xdr:colOff>276225</xdr:colOff>
      <xdr:row>6</xdr:row>
      <xdr:rowOff>114300</xdr:rowOff>
    </xdr:from>
    <xdr:to>
      <xdr:col>10</xdr:col>
      <xdr:colOff>95250</xdr:colOff>
      <xdr:row>7</xdr:row>
      <xdr:rowOff>171449</xdr:rowOff>
    </xdr:to>
    <xdr:sp macro="" textlink="'Analysis-2'!U10">
      <xdr:nvSpPr>
        <xdr:cNvPr id="18" name="TextBox 17"/>
        <xdr:cNvSpPr txBox="1"/>
      </xdr:nvSpPr>
      <xdr:spPr>
        <a:xfrm>
          <a:off x="7715250" y="1257300"/>
          <a:ext cx="1038225"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C28E5F3-DE98-4362-B841-57BF0582AB15}" type="TxLink">
            <a:rPr lang="en-US" sz="1800" b="1" i="0" u="none" strike="noStrike">
              <a:solidFill>
                <a:schemeClr val="accent1">
                  <a:lumMod val="75000"/>
                </a:schemeClr>
              </a:solidFill>
              <a:latin typeface="Calibri"/>
              <a:ea typeface="+mn-ea"/>
              <a:cs typeface="Calibri"/>
            </a:rPr>
            <a:pPr marL="0" indent="0" algn="ctr"/>
            <a:t>$5.25M</a:t>
          </a:fld>
          <a:endParaRPr lang="en-US" sz="1800" b="1" i="0" u="none" strike="noStrike">
            <a:solidFill>
              <a:schemeClr val="accent1">
                <a:lumMod val="75000"/>
              </a:schemeClr>
            </a:solidFill>
            <a:latin typeface="Calibri"/>
            <a:ea typeface="+mn-ea"/>
            <a:cs typeface="Calibri"/>
          </a:endParaRPr>
        </a:p>
      </xdr:txBody>
    </xdr:sp>
    <xdr:clientData/>
  </xdr:twoCellAnchor>
  <xdr:twoCellAnchor>
    <xdr:from>
      <xdr:col>11</xdr:col>
      <xdr:colOff>409575</xdr:colOff>
      <xdr:row>6</xdr:row>
      <xdr:rowOff>95250</xdr:rowOff>
    </xdr:from>
    <xdr:to>
      <xdr:col>13</xdr:col>
      <xdr:colOff>295275</xdr:colOff>
      <xdr:row>7</xdr:row>
      <xdr:rowOff>152399</xdr:rowOff>
    </xdr:to>
    <xdr:sp macro="" textlink="'Analysis-2'!V10">
      <xdr:nvSpPr>
        <xdr:cNvPr id="19" name="TextBox 18"/>
        <xdr:cNvSpPr txBox="1"/>
      </xdr:nvSpPr>
      <xdr:spPr>
        <a:xfrm>
          <a:off x="9677400" y="1238250"/>
          <a:ext cx="1104900"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9759BA4-9ED9-4D22-BACB-0C5297E12C73}" type="TxLink">
            <a:rPr lang="en-US" sz="1800" b="1" i="0" u="none" strike="noStrike">
              <a:solidFill>
                <a:schemeClr val="accent1">
                  <a:lumMod val="75000"/>
                </a:schemeClr>
              </a:solidFill>
              <a:latin typeface="Calibri"/>
              <a:ea typeface="+mn-ea"/>
              <a:cs typeface="Calibri"/>
            </a:rPr>
            <a:pPr marL="0" indent="0" algn="ctr"/>
            <a:t>↑+3.7%</a:t>
          </a:fld>
          <a:endParaRPr lang="en-US" sz="1800" b="1" i="0" u="none" strike="noStrike">
            <a:solidFill>
              <a:schemeClr val="accent1">
                <a:lumMod val="75000"/>
              </a:schemeClr>
            </a:solidFill>
            <a:latin typeface="Calibri"/>
            <a:ea typeface="+mn-ea"/>
            <a:cs typeface="Calibri"/>
          </a:endParaRPr>
        </a:p>
      </xdr:txBody>
    </xdr:sp>
    <xdr:clientData/>
  </xdr:twoCellAnchor>
  <xdr:twoCellAnchor>
    <xdr:from>
      <xdr:col>5</xdr:col>
      <xdr:colOff>104775</xdr:colOff>
      <xdr:row>5</xdr:row>
      <xdr:rowOff>133350</xdr:rowOff>
    </xdr:from>
    <xdr:to>
      <xdr:col>5</xdr:col>
      <xdr:colOff>150494</xdr:colOff>
      <xdr:row>7</xdr:row>
      <xdr:rowOff>172974</xdr:rowOff>
    </xdr:to>
    <xdr:sp macro="" textlink="">
      <xdr:nvSpPr>
        <xdr:cNvPr id="21" name="Rounded Rectangle 20"/>
        <xdr:cNvSpPr/>
      </xdr:nvSpPr>
      <xdr:spPr>
        <a:xfrm>
          <a:off x="5715000" y="1085850"/>
          <a:ext cx="45719" cy="420624"/>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438150</xdr:colOff>
      <xdr:row>5</xdr:row>
      <xdr:rowOff>123825</xdr:rowOff>
    </xdr:from>
    <xdr:to>
      <xdr:col>11</xdr:col>
      <xdr:colOff>483869</xdr:colOff>
      <xdr:row>7</xdr:row>
      <xdr:rowOff>163449</xdr:rowOff>
    </xdr:to>
    <xdr:sp macro="" textlink="">
      <xdr:nvSpPr>
        <xdr:cNvPr id="22" name="Rounded Rectangle 21"/>
        <xdr:cNvSpPr/>
      </xdr:nvSpPr>
      <xdr:spPr>
        <a:xfrm>
          <a:off x="9705975" y="1076325"/>
          <a:ext cx="45719" cy="420624"/>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304800</xdr:colOff>
      <xdr:row>5</xdr:row>
      <xdr:rowOff>123824</xdr:rowOff>
    </xdr:from>
    <xdr:to>
      <xdr:col>8</xdr:col>
      <xdr:colOff>350519</xdr:colOff>
      <xdr:row>7</xdr:row>
      <xdr:rowOff>163448</xdr:rowOff>
    </xdr:to>
    <xdr:sp macro="" textlink="">
      <xdr:nvSpPr>
        <xdr:cNvPr id="23" name="Rounded Rectangle 22"/>
        <xdr:cNvSpPr/>
      </xdr:nvSpPr>
      <xdr:spPr>
        <a:xfrm>
          <a:off x="7743825" y="1076324"/>
          <a:ext cx="45719" cy="420624"/>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1228725</xdr:colOff>
      <xdr:row>6</xdr:row>
      <xdr:rowOff>0</xdr:rowOff>
    </xdr:from>
    <xdr:to>
      <xdr:col>3</xdr:col>
      <xdr:colOff>1114425</xdr:colOff>
      <xdr:row>10</xdr:row>
      <xdr:rowOff>128926</xdr:rowOff>
    </xdr:to>
    <xdr:pic>
      <xdr:nvPicPr>
        <xdr:cNvPr id="29" name="Picture 2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381375" y="1143000"/>
          <a:ext cx="1143000" cy="8909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57150</xdr:colOff>
      <xdr:row>2</xdr:row>
      <xdr:rowOff>180974</xdr:rowOff>
    </xdr:from>
    <xdr:to>
      <xdr:col>2</xdr:col>
      <xdr:colOff>1000125</xdr:colOff>
      <xdr:row>18</xdr:row>
      <xdr:rowOff>180975</xdr:rowOff>
    </xdr:to>
    <xdr:sp macro="" textlink="">
      <xdr:nvSpPr>
        <xdr:cNvPr id="31" name="Rectangle 30"/>
        <xdr:cNvSpPr/>
      </xdr:nvSpPr>
      <xdr:spPr>
        <a:xfrm>
          <a:off x="1181100" y="561974"/>
          <a:ext cx="1971675" cy="30480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1190625</xdr:colOff>
      <xdr:row>13</xdr:row>
      <xdr:rowOff>85726</xdr:rowOff>
    </xdr:from>
    <xdr:to>
      <xdr:col>3</xdr:col>
      <xdr:colOff>1085850</xdr:colOff>
      <xdr:row>17</xdr:row>
      <xdr:rowOff>190467</xdr:rowOff>
    </xdr:to>
    <xdr:pic>
      <xdr:nvPicPr>
        <xdr:cNvPr id="32" name="Picture 3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43275" y="2562226"/>
          <a:ext cx="1152525" cy="8667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1142183</xdr:colOff>
      <xdr:row>4</xdr:row>
      <xdr:rowOff>19050</xdr:rowOff>
    </xdr:from>
    <xdr:to>
      <xdr:col>3</xdr:col>
      <xdr:colOff>590550</xdr:colOff>
      <xdr:row>5</xdr:row>
      <xdr:rowOff>76199</xdr:rowOff>
    </xdr:to>
    <xdr:sp macro="" textlink="">
      <xdr:nvSpPr>
        <xdr:cNvPr id="24" name="TextBox 23"/>
        <xdr:cNvSpPr txBox="1"/>
      </xdr:nvSpPr>
      <xdr:spPr>
        <a:xfrm>
          <a:off x="3294833" y="781050"/>
          <a:ext cx="705667"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1" baseline="0"/>
            <a:t>Revenue</a:t>
          </a:r>
          <a:endParaRPr lang="en-US" sz="1050" b="1"/>
        </a:p>
      </xdr:txBody>
    </xdr:sp>
    <xdr:clientData/>
  </xdr:twoCellAnchor>
  <xdr:twoCellAnchor>
    <xdr:from>
      <xdr:col>2</xdr:col>
      <xdr:colOff>1142183</xdr:colOff>
      <xdr:row>4</xdr:row>
      <xdr:rowOff>152400</xdr:rowOff>
    </xdr:from>
    <xdr:to>
      <xdr:col>3</xdr:col>
      <xdr:colOff>657225</xdr:colOff>
      <xdr:row>6</xdr:row>
      <xdr:rowOff>19049</xdr:rowOff>
    </xdr:to>
    <xdr:sp macro="" textlink="">
      <xdr:nvSpPr>
        <xdr:cNvPr id="25" name="TextBox 24"/>
        <xdr:cNvSpPr txBox="1"/>
      </xdr:nvSpPr>
      <xdr:spPr>
        <a:xfrm>
          <a:off x="3294833" y="914400"/>
          <a:ext cx="772342"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1" baseline="0"/>
            <a:t>Generated</a:t>
          </a:r>
          <a:endParaRPr lang="en-US" sz="1050" b="1"/>
        </a:p>
      </xdr:txBody>
    </xdr:sp>
    <xdr:clientData/>
  </xdr:twoCellAnchor>
  <xdr:twoCellAnchor>
    <xdr:from>
      <xdr:col>3</xdr:col>
      <xdr:colOff>1066800</xdr:colOff>
      <xdr:row>6</xdr:row>
      <xdr:rowOff>142875</xdr:rowOff>
    </xdr:from>
    <xdr:to>
      <xdr:col>4</xdr:col>
      <xdr:colOff>542925</xdr:colOff>
      <xdr:row>8</xdr:row>
      <xdr:rowOff>9524</xdr:rowOff>
    </xdr:to>
    <xdr:sp macro="" textlink="">
      <xdr:nvSpPr>
        <xdr:cNvPr id="26" name="TextBox 25"/>
        <xdr:cNvSpPr txBox="1"/>
      </xdr:nvSpPr>
      <xdr:spPr>
        <a:xfrm>
          <a:off x="4476750" y="1285875"/>
          <a:ext cx="809625"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baseline="0"/>
            <a:t>Revenue By</a:t>
          </a:r>
          <a:endParaRPr lang="en-US" sz="1000" b="1"/>
        </a:p>
      </xdr:txBody>
    </xdr:sp>
    <xdr:clientData/>
  </xdr:twoCellAnchor>
  <xdr:twoCellAnchor>
    <xdr:from>
      <xdr:col>3</xdr:col>
      <xdr:colOff>1076325</xdr:colOff>
      <xdr:row>7</xdr:row>
      <xdr:rowOff>85725</xdr:rowOff>
    </xdr:from>
    <xdr:to>
      <xdr:col>4</xdr:col>
      <xdr:colOff>504825</xdr:colOff>
      <xdr:row>8</xdr:row>
      <xdr:rowOff>142874</xdr:rowOff>
    </xdr:to>
    <xdr:sp macro="" textlink="">
      <xdr:nvSpPr>
        <xdr:cNvPr id="27" name="TextBox 26"/>
        <xdr:cNvSpPr txBox="1"/>
      </xdr:nvSpPr>
      <xdr:spPr>
        <a:xfrm>
          <a:off x="4486275" y="1419225"/>
          <a:ext cx="762000"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baseline="0">
              <a:solidFill>
                <a:srgbClr val="3399FD"/>
              </a:solidFill>
            </a:rPr>
            <a:t>Weekends</a:t>
          </a:r>
          <a:endParaRPr lang="en-US" sz="1050" b="1">
            <a:solidFill>
              <a:srgbClr val="3399FD"/>
            </a:solidFill>
          </a:endParaRPr>
        </a:p>
      </xdr:txBody>
    </xdr:sp>
    <xdr:clientData/>
  </xdr:twoCellAnchor>
  <xdr:twoCellAnchor>
    <xdr:from>
      <xdr:col>3</xdr:col>
      <xdr:colOff>1152525</xdr:colOff>
      <xdr:row>8</xdr:row>
      <xdr:rowOff>180975</xdr:rowOff>
    </xdr:from>
    <xdr:to>
      <xdr:col>4</xdr:col>
      <xdr:colOff>485775</xdr:colOff>
      <xdr:row>10</xdr:row>
      <xdr:rowOff>47624</xdr:rowOff>
    </xdr:to>
    <xdr:sp macro="" textlink="'Waffle Chart'!B3">
      <xdr:nvSpPr>
        <xdr:cNvPr id="28" name="TextBox 27"/>
        <xdr:cNvSpPr txBox="1"/>
      </xdr:nvSpPr>
      <xdr:spPr>
        <a:xfrm>
          <a:off x="4562475" y="1704975"/>
          <a:ext cx="666750"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1E701B-0476-4896-ABFF-92BF1B63FD77}" type="TxLink">
            <a:rPr lang="en-US" sz="2000" b="1" i="0" u="none" strike="noStrike">
              <a:solidFill>
                <a:srgbClr val="3399FD"/>
              </a:solidFill>
              <a:latin typeface="Calibri"/>
              <a:cs typeface="Calibri"/>
            </a:rPr>
            <a:pPr algn="ctr"/>
            <a:t>29%</a:t>
          </a:fld>
          <a:endParaRPr lang="en-US" sz="4800" b="1">
            <a:solidFill>
              <a:srgbClr val="3399FD"/>
            </a:solidFill>
          </a:endParaRPr>
        </a:p>
      </xdr:txBody>
    </xdr:sp>
    <xdr:clientData/>
  </xdr:twoCellAnchor>
  <xdr:twoCellAnchor>
    <xdr:from>
      <xdr:col>3</xdr:col>
      <xdr:colOff>1085850</xdr:colOff>
      <xdr:row>14</xdr:row>
      <xdr:rowOff>95250</xdr:rowOff>
    </xdr:from>
    <xdr:to>
      <xdr:col>4</xdr:col>
      <xdr:colOff>523875</xdr:colOff>
      <xdr:row>15</xdr:row>
      <xdr:rowOff>152399</xdr:rowOff>
    </xdr:to>
    <xdr:sp macro="" textlink="">
      <xdr:nvSpPr>
        <xdr:cNvPr id="33" name="TextBox 32"/>
        <xdr:cNvSpPr txBox="1"/>
      </xdr:nvSpPr>
      <xdr:spPr>
        <a:xfrm>
          <a:off x="4495800" y="2762250"/>
          <a:ext cx="771525"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baseline="0">
              <a:solidFill>
                <a:schemeClr val="bg1">
                  <a:lumMod val="65000"/>
                </a:schemeClr>
              </a:solidFill>
            </a:rPr>
            <a:t>Weekdays</a:t>
          </a:r>
          <a:endParaRPr lang="en-US" sz="1100" b="1">
            <a:solidFill>
              <a:schemeClr val="bg1">
                <a:lumMod val="65000"/>
              </a:schemeClr>
            </a:solidFill>
          </a:endParaRPr>
        </a:p>
      </xdr:txBody>
    </xdr:sp>
    <xdr:clientData/>
  </xdr:twoCellAnchor>
  <xdr:twoCellAnchor>
    <xdr:from>
      <xdr:col>3</xdr:col>
      <xdr:colOff>1076325</xdr:colOff>
      <xdr:row>13</xdr:row>
      <xdr:rowOff>133350</xdr:rowOff>
    </xdr:from>
    <xdr:to>
      <xdr:col>4</xdr:col>
      <xdr:colOff>561975</xdr:colOff>
      <xdr:row>14</xdr:row>
      <xdr:rowOff>190499</xdr:rowOff>
    </xdr:to>
    <xdr:sp macro="" textlink="">
      <xdr:nvSpPr>
        <xdr:cNvPr id="34" name="TextBox 33"/>
        <xdr:cNvSpPr txBox="1"/>
      </xdr:nvSpPr>
      <xdr:spPr>
        <a:xfrm>
          <a:off x="4486275" y="2609850"/>
          <a:ext cx="819150"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baseline="0"/>
            <a:t>Revenue By</a:t>
          </a:r>
          <a:endParaRPr lang="en-US" sz="1000" b="1"/>
        </a:p>
      </xdr:txBody>
    </xdr:sp>
    <xdr:clientData/>
  </xdr:twoCellAnchor>
  <xdr:twoCellAnchor>
    <xdr:from>
      <xdr:col>2</xdr:col>
      <xdr:colOff>1104083</xdr:colOff>
      <xdr:row>12</xdr:row>
      <xdr:rowOff>38100</xdr:rowOff>
    </xdr:from>
    <xdr:to>
      <xdr:col>3</xdr:col>
      <xdr:colOff>619125</xdr:colOff>
      <xdr:row>13</xdr:row>
      <xdr:rowOff>95249</xdr:rowOff>
    </xdr:to>
    <xdr:sp macro="" textlink="">
      <xdr:nvSpPr>
        <xdr:cNvPr id="36" name="TextBox 35"/>
        <xdr:cNvSpPr txBox="1"/>
      </xdr:nvSpPr>
      <xdr:spPr>
        <a:xfrm>
          <a:off x="3256733" y="2324100"/>
          <a:ext cx="772342"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1" baseline="0"/>
            <a:t>Generated</a:t>
          </a:r>
          <a:endParaRPr lang="en-US" sz="1050" b="1"/>
        </a:p>
      </xdr:txBody>
    </xdr:sp>
    <xdr:clientData/>
  </xdr:twoCellAnchor>
  <xdr:twoCellAnchor>
    <xdr:from>
      <xdr:col>3</xdr:col>
      <xdr:colOff>1133475</xdr:colOff>
      <xdr:row>15</xdr:row>
      <xdr:rowOff>180975</xdr:rowOff>
    </xdr:from>
    <xdr:to>
      <xdr:col>4</xdr:col>
      <xdr:colOff>466725</xdr:colOff>
      <xdr:row>17</xdr:row>
      <xdr:rowOff>47624</xdr:rowOff>
    </xdr:to>
    <xdr:sp macro="" textlink="'Waffle Chart'!B4">
      <xdr:nvSpPr>
        <xdr:cNvPr id="37" name="TextBox 36"/>
        <xdr:cNvSpPr txBox="1"/>
      </xdr:nvSpPr>
      <xdr:spPr>
        <a:xfrm>
          <a:off x="4543425" y="3038475"/>
          <a:ext cx="666750"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428CCF-CF4B-47C7-A1C4-A449AA308D31}" type="TxLink">
            <a:rPr lang="en-US" sz="2000" b="1" i="0" u="none" strike="noStrike">
              <a:solidFill>
                <a:schemeClr val="bg1">
                  <a:lumMod val="65000"/>
                </a:schemeClr>
              </a:solidFill>
              <a:latin typeface="+mn-lt"/>
              <a:cs typeface="Calibri"/>
            </a:rPr>
            <a:pPr algn="ctr"/>
            <a:t>71%</a:t>
          </a:fld>
          <a:endParaRPr lang="en-US" sz="4800" b="1">
            <a:solidFill>
              <a:schemeClr val="bg1">
                <a:lumMod val="65000"/>
              </a:schemeClr>
            </a:solidFill>
            <a:latin typeface="+mn-lt"/>
          </a:endParaRPr>
        </a:p>
      </xdr:txBody>
    </xdr:sp>
    <xdr:clientData/>
  </xdr:twoCellAnchor>
  <xdr:twoCellAnchor>
    <xdr:from>
      <xdr:col>2</xdr:col>
      <xdr:colOff>1123133</xdr:colOff>
      <xdr:row>11</xdr:row>
      <xdr:rowOff>114300</xdr:rowOff>
    </xdr:from>
    <xdr:to>
      <xdr:col>3</xdr:col>
      <xdr:colOff>571500</xdr:colOff>
      <xdr:row>12</xdr:row>
      <xdr:rowOff>171449</xdr:rowOff>
    </xdr:to>
    <xdr:sp macro="" textlink="">
      <xdr:nvSpPr>
        <xdr:cNvPr id="38" name="TextBox 37"/>
        <xdr:cNvSpPr txBox="1"/>
      </xdr:nvSpPr>
      <xdr:spPr>
        <a:xfrm>
          <a:off x="3275783" y="2209800"/>
          <a:ext cx="705667"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1" baseline="0"/>
            <a:t>Revenue</a:t>
          </a:r>
          <a:endParaRPr lang="en-US" sz="1050" b="1"/>
        </a:p>
      </xdr:txBody>
    </xdr:sp>
    <xdr:clientData/>
  </xdr:twoCellAnchor>
  <xdr:twoCellAnchor>
    <xdr:from>
      <xdr:col>3</xdr:col>
      <xdr:colOff>495300</xdr:colOff>
      <xdr:row>5</xdr:row>
      <xdr:rowOff>0</xdr:rowOff>
    </xdr:from>
    <xdr:to>
      <xdr:col>3</xdr:col>
      <xdr:colOff>1162050</xdr:colOff>
      <xdr:row>5</xdr:row>
      <xdr:rowOff>133349</xdr:rowOff>
    </xdr:to>
    <xdr:sp macro="" textlink="'Analysis-2'!Z10">
      <xdr:nvSpPr>
        <xdr:cNvPr id="39" name="TextBox 38"/>
        <xdr:cNvSpPr txBox="1"/>
      </xdr:nvSpPr>
      <xdr:spPr>
        <a:xfrm>
          <a:off x="3905250" y="952500"/>
          <a:ext cx="666750" cy="13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A3665EB-BA28-48E4-BC13-3ED5D1CEBC63}" type="TxLink">
            <a:rPr lang="en-US" sz="1100" b="1" i="0" u="none" strike="noStrike">
              <a:solidFill>
                <a:schemeClr val="tx1">
                  <a:lumMod val="65000"/>
                  <a:lumOff val="35000"/>
                </a:schemeClr>
              </a:solidFill>
              <a:latin typeface="Calibri"/>
              <a:cs typeface="Calibri"/>
            </a:rPr>
            <a:pPr algn="ctr"/>
            <a:t>$1.6M</a:t>
          </a:fld>
          <a:endParaRPr lang="en-US" sz="6000" b="1">
            <a:solidFill>
              <a:schemeClr val="tx1">
                <a:lumMod val="65000"/>
                <a:lumOff val="35000"/>
              </a:schemeClr>
            </a:solidFill>
          </a:endParaRPr>
        </a:p>
      </xdr:txBody>
    </xdr:sp>
    <xdr:clientData/>
  </xdr:twoCellAnchor>
  <xdr:twoCellAnchor>
    <xdr:from>
      <xdr:col>3</xdr:col>
      <xdr:colOff>495300</xdr:colOff>
      <xdr:row>12</xdr:row>
      <xdr:rowOff>85725</xdr:rowOff>
    </xdr:from>
    <xdr:to>
      <xdr:col>3</xdr:col>
      <xdr:colOff>1162050</xdr:colOff>
      <xdr:row>13</xdr:row>
      <xdr:rowOff>19049</xdr:rowOff>
    </xdr:to>
    <xdr:sp macro="" textlink="'Analysis-2'!Z9">
      <xdr:nvSpPr>
        <xdr:cNvPr id="40" name="TextBox 39"/>
        <xdr:cNvSpPr txBox="1"/>
      </xdr:nvSpPr>
      <xdr:spPr>
        <a:xfrm>
          <a:off x="3905250" y="2371725"/>
          <a:ext cx="666750" cy="123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408188-8D16-43B4-BDF4-9416E40EFA35}" type="TxLink">
            <a:rPr lang="en-US" sz="1100" b="1" i="0" u="none" strike="noStrike">
              <a:solidFill>
                <a:schemeClr val="tx1">
                  <a:lumMod val="65000"/>
                  <a:lumOff val="35000"/>
                </a:schemeClr>
              </a:solidFill>
              <a:latin typeface="Calibri"/>
              <a:cs typeface="Calibri"/>
            </a:rPr>
            <a:pPr algn="ctr"/>
            <a:t>$3.9M</a:t>
          </a:fld>
          <a:endParaRPr lang="en-US" sz="6000" b="1">
            <a:solidFill>
              <a:schemeClr val="tx1">
                <a:lumMod val="65000"/>
                <a:lumOff val="35000"/>
              </a:schemeClr>
            </a:solidFill>
          </a:endParaRPr>
        </a:p>
      </xdr:txBody>
    </xdr:sp>
    <xdr:clientData/>
  </xdr:twoCellAnchor>
  <xdr:twoCellAnchor>
    <xdr:from>
      <xdr:col>0</xdr:col>
      <xdr:colOff>1085850</xdr:colOff>
      <xdr:row>7</xdr:row>
      <xdr:rowOff>19050</xdr:rowOff>
    </xdr:from>
    <xdr:to>
      <xdr:col>2</xdr:col>
      <xdr:colOff>1047750</xdr:colOff>
      <xdr:row>16</xdr:row>
      <xdr:rowOff>114301</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28574</xdr:colOff>
      <xdr:row>2</xdr:row>
      <xdr:rowOff>133349</xdr:rowOff>
    </xdr:from>
    <xdr:to>
      <xdr:col>2</xdr:col>
      <xdr:colOff>1104899</xdr:colOff>
      <xdr:row>5</xdr:row>
      <xdr:rowOff>9524</xdr:rowOff>
    </xdr:to>
    <xdr:sp macro="" textlink="">
      <xdr:nvSpPr>
        <xdr:cNvPr id="41" name="TextBox 40"/>
        <xdr:cNvSpPr txBox="1"/>
      </xdr:nvSpPr>
      <xdr:spPr>
        <a:xfrm>
          <a:off x="1152524" y="514349"/>
          <a:ext cx="21050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u="sng"/>
            <a:t>Revenue </a:t>
          </a:r>
          <a:r>
            <a:rPr lang="en-US" sz="1050" baseline="0"/>
            <a:t>by Quarter Vs</a:t>
          </a:r>
        </a:p>
        <a:p>
          <a:r>
            <a:rPr lang="en-US" sz="1050" baseline="0"/>
            <a:t>Percentage Change</a:t>
          </a:r>
          <a:endParaRPr lang="en-US" sz="1050"/>
        </a:p>
      </xdr:txBody>
    </xdr:sp>
    <xdr:clientData/>
  </xdr:twoCellAnchor>
  <xdr:twoCellAnchor>
    <xdr:from>
      <xdr:col>1</xdr:col>
      <xdr:colOff>19049</xdr:colOff>
      <xdr:row>4</xdr:row>
      <xdr:rowOff>133349</xdr:rowOff>
    </xdr:from>
    <xdr:to>
      <xdr:col>2</xdr:col>
      <xdr:colOff>1095374</xdr:colOff>
      <xdr:row>7</xdr:row>
      <xdr:rowOff>9524</xdr:rowOff>
    </xdr:to>
    <xdr:sp macro="" textlink="'Analysis-2'!AC20">
      <xdr:nvSpPr>
        <xdr:cNvPr id="42" name="TextBox 41"/>
        <xdr:cNvSpPr txBox="1"/>
      </xdr:nvSpPr>
      <xdr:spPr>
        <a:xfrm>
          <a:off x="1142999" y="895349"/>
          <a:ext cx="21050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319AD94-BDF3-4B26-A815-55AB184ECF04}" type="TxLink">
            <a:rPr lang="en-US" sz="1000" b="0" i="1" u="none" strike="noStrike">
              <a:solidFill>
                <a:schemeClr val="tx1">
                  <a:lumMod val="65000"/>
                  <a:lumOff val="35000"/>
                </a:schemeClr>
              </a:solidFill>
              <a:latin typeface="Calibri"/>
              <a:cs typeface="Calibri"/>
            </a:rPr>
            <a:pPr algn="l"/>
            <a:t> The line in the chart indicates $1361702 Average Revenue</a:t>
          </a:fld>
          <a:endParaRPr lang="en-US" sz="1000" i="1">
            <a:solidFill>
              <a:schemeClr val="tx1">
                <a:lumMod val="65000"/>
                <a:lumOff val="35000"/>
              </a:schemeClr>
            </a:solidFill>
          </a:endParaRPr>
        </a:p>
      </xdr:txBody>
    </xdr:sp>
    <xdr:clientData/>
  </xdr:twoCellAnchor>
  <xdr:twoCellAnchor>
    <xdr:from>
      <xdr:col>1</xdr:col>
      <xdr:colOff>161925</xdr:colOff>
      <xdr:row>16</xdr:row>
      <xdr:rowOff>142875</xdr:rowOff>
    </xdr:from>
    <xdr:to>
      <xdr:col>1</xdr:col>
      <xdr:colOff>247650</xdr:colOff>
      <xdr:row>17</xdr:row>
      <xdr:rowOff>38100</xdr:rowOff>
    </xdr:to>
    <xdr:sp macro="" textlink="">
      <xdr:nvSpPr>
        <xdr:cNvPr id="9" name="Oval 8"/>
        <xdr:cNvSpPr/>
      </xdr:nvSpPr>
      <xdr:spPr>
        <a:xfrm>
          <a:off x="1285875" y="3190875"/>
          <a:ext cx="85725" cy="85725"/>
        </a:xfrm>
        <a:prstGeom prst="ellipse">
          <a:avLst/>
        </a:prstGeom>
        <a:solidFill>
          <a:srgbClr val="70C7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161925</xdr:colOff>
      <xdr:row>17</xdr:row>
      <xdr:rowOff>123825</xdr:rowOff>
    </xdr:from>
    <xdr:to>
      <xdr:col>1</xdr:col>
      <xdr:colOff>247650</xdr:colOff>
      <xdr:row>18</xdr:row>
      <xdr:rowOff>19050</xdr:rowOff>
    </xdr:to>
    <xdr:sp macro="" textlink="">
      <xdr:nvSpPr>
        <xdr:cNvPr id="43" name="Oval 42"/>
        <xdr:cNvSpPr/>
      </xdr:nvSpPr>
      <xdr:spPr>
        <a:xfrm>
          <a:off x="1285875" y="3362325"/>
          <a:ext cx="85725" cy="85725"/>
        </a:xfrm>
        <a:prstGeom prst="ellipse">
          <a:avLst/>
        </a:prstGeom>
        <a:solidFill>
          <a:srgbClr val="1F8CB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238125</xdr:colOff>
      <xdr:row>17</xdr:row>
      <xdr:rowOff>142875</xdr:rowOff>
    </xdr:from>
    <xdr:to>
      <xdr:col>2</xdr:col>
      <xdr:colOff>790575</xdr:colOff>
      <xdr:row>17</xdr:row>
      <xdr:rowOff>142875</xdr:rowOff>
    </xdr:to>
    <xdr:cxnSp macro="">
      <xdr:nvCxnSpPr>
        <xdr:cNvPr id="11" name="Straight Connector 10"/>
        <xdr:cNvCxnSpPr/>
      </xdr:nvCxnSpPr>
      <xdr:spPr>
        <a:xfrm>
          <a:off x="2390775" y="3381375"/>
          <a:ext cx="552450" cy="0"/>
        </a:xfrm>
        <a:prstGeom prst="line">
          <a:avLst/>
        </a:prstGeom>
        <a:ln w="19050">
          <a:solidFill>
            <a:schemeClr val="tx1">
              <a:lumMod val="50000"/>
              <a:lumOff val="50000"/>
            </a:schemeClr>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200025</xdr:colOff>
      <xdr:row>16</xdr:row>
      <xdr:rowOff>57150</xdr:rowOff>
    </xdr:from>
    <xdr:to>
      <xdr:col>2</xdr:col>
      <xdr:colOff>161925</xdr:colOff>
      <xdr:row>17</xdr:row>
      <xdr:rowOff>133350</xdr:rowOff>
    </xdr:to>
    <xdr:sp macro="" textlink="">
      <xdr:nvSpPr>
        <xdr:cNvPr id="44" name="TextBox 43"/>
        <xdr:cNvSpPr txBox="1"/>
      </xdr:nvSpPr>
      <xdr:spPr>
        <a:xfrm>
          <a:off x="1323975" y="3105150"/>
          <a:ext cx="9906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u="none"/>
            <a:t>Below</a:t>
          </a:r>
          <a:r>
            <a:rPr lang="en-US" sz="1000" u="none" baseline="0"/>
            <a:t> Average</a:t>
          </a:r>
          <a:endParaRPr lang="en-US" sz="1100" u="none"/>
        </a:p>
      </xdr:txBody>
    </xdr:sp>
    <xdr:clientData/>
  </xdr:twoCellAnchor>
  <xdr:twoCellAnchor>
    <xdr:from>
      <xdr:col>1</xdr:col>
      <xdr:colOff>219075</xdr:colOff>
      <xdr:row>17</xdr:row>
      <xdr:rowOff>28575</xdr:rowOff>
    </xdr:from>
    <xdr:to>
      <xdr:col>2</xdr:col>
      <xdr:colOff>180975</xdr:colOff>
      <xdr:row>18</xdr:row>
      <xdr:rowOff>104775</xdr:rowOff>
    </xdr:to>
    <xdr:sp macro="" textlink="">
      <xdr:nvSpPr>
        <xdr:cNvPr id="46" name="TextBox 45"/>
        <xdr:cNvSpPr txBox="1"/>
      </xdr:nvSpPr>
      <xdr:spPr>
        <a:xfrm>
          <a:off x="1343025" y="3267075"/>
          <a:ext cx="9906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u="none" baseline="0"/>
            <a:t>Above Average</a:t>
          </a:r>
          <a:endParaRPr lang="en-US" sz="1100" u="none"/>
        </a:p>
      </xdr:txBody>
    </xdr:sp>
    <xdr:clientData/>
  </xdr:twoCellAnchor>
  <xdr:twoCellAnchor>
    <xdr:from>
      <xdr:col>2</xdr:col>
      <xdr:colOff>104775</xdr:colOff>
      <xdr:row>16</xdr:row>
      <xdr:rowOff>114300</xdr:rowOff>
    </xdr:from>
    <xdr:to>
      <xdr:col>2</xdr:col>
      <xdr:colOff>1095375</xdr:colOff>
      <xdr:row>18</xdr:row>
      <xdr:rowOff>0</xdr:rowOff>
    </xdr:to>
    <xdr:sp macro="" textlink="">
      <xdr:nvSpPr>
        <xdr:cNvPr id="47" name="TextBox 46"/>
        <xdr:cNvSpPr txBox="1"/>
      </xdr:nvSpPr>
      <xdr:spPr>
        <a:xfrm>
          <a:off x="2257425" y="3162300"/>
          <a:ext cx="9906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u="none" baseline="0"/>
            <a:t>Average Line</a:t>
          </a:r>
          <a:endParaRPr lang="en-US" sz="1100" u="none"/>
        </a:p>
      </xdr:txBody>
    </xdr:sp>
    <xdr:clientData/>
  </xdr:twoCellAnchor>
  <xdr:twoCellAnchor>
    <xdr:from>
      <xdr:col>1</xdr:col>
      <xdr:colOff>304800</xdr:colOff>
      <xdr:row>19</xdr:row>
      <xdr:rowOff>104776</xdr:rowOff>
    </xdr:from>
    <xdr:to>
      <xdr:col>4</xdr:col>
      <xdr:colOff>342900</xdr:colOff>
      <xdr:row>27</xdr:row>
      <xdr:rowOff>123826</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200024</xdr:colOff>
      <xdr:row>21</xdr:row>
      <xdr:rowOff>28575</xdr:rowOff>
    </xdr:from>
    <xdr:to>
      <xdr:col>4</xdr:col>
      <xdr:colOff>476249</xdr:colOff>
      <xdr:row>27</xdr:row>
      <xdr:rowOff>95250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85724</xdr:colOff>
      <xdr:row>19</xdr:row>
      <xdr:rowOff>66675</xdr:rowOff>
    </xdr:from>
    <xdr:to>
      <xdr:col>2</xdr:col>
      <xdr:colOff>1162049</xdr:colOff>
      <xdr:row>20</xdr:row>
      <xdr:rowOff>133351</xdr:rowOff>
    </xdr:to>
    <xdr:sp macro="" textlink="">
      <xdr:nvSpPr>
        <xdr:cNvPr id="51" name="TextBox 50"/>
        <xdr:cNvSpPr txBox="1"/>
      </xdr:nvSpPr>
      <xdr:spPr>
        <a:xfrm>
          <a:off x="1209674" y="3686175"/>
          <a:ext cx="2105025"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u="sng"/>
            <a:t>Revenue </a:t>
          </a:r>
          <a:r>
            <a:rPr lang="en-US" sz="1050" baseline="0"/>
            <a:t>by Weekdays</a:t>
          </a:r>
        </a:p>
      </xdr:txBody>
    </xdr:sp>
    <xdr:clientData/>
  </xdr:twoCellAnchor>
  <xdr:twoCellAnchor editAs="oneCell">
    <xdr:from>
      <xdr:col>1</xdr:col>
      <xdr:colOff>76200</xdr:colOff>
      <xdr:row>0</xdr:row>
      <xdr:rowOff>85725</xdr:rowOff>
    </xdr:from>
    <xdr:to>
      <xdr:col>2</xdr:col>
      <xdr:colOff>1248347</xdr:colOff>
      <xdr:row>1</xdr:row>
      <xdr:rowOff>110885</xdr:rowOff>
    </xdr:to>
    <xdr:pic>
      <xdr:nvPicPr>
        <xdr:cNvPr id="10" name="Picture 9"/>
        <xdr:cNvPicPr>
          <a:picLocks noChangeAspect="1"/>
        </xdr:cNvPicPr>
      </xdr:nvPicPr>
      <xdr:blipFill>
        <a:blip xmlns:r="http://schemas.openxmlformats.org/officeDocument/2006/relationships" r:embed="rId8"/>
        <a:stretch>
          <a:fillRect/>
        </a:stretch>
      </xdr:blipFill>
      <xdr:spPr>
        <a:xfrm>
          <a:off x="1200150" y="85725"/>
          <a:ext cx="2200847" cy="215660"/>
        </a:xfrm>
        <a:prstGeom prst="rect">
          <a:avLst/>
        </a:prstGeom>
      </xdr:spPr>
    </xdr:pic>
    <xdr:clientData/>
  </xdr:twoCellAnchor>
  <xdr:twoCellAnchor>
    <xdr:from>
      <xdr:col>3</xdr:col>
      <xdr:colOff>371475</xdr:colOff>
      <xdr:row>0</xdr:row>
      <xdr:rowOff>104775</xdr:rowOff>
    </xdr:from>
    <xdr:to>
      <xdr:col>3</xdr:col>
      <xdr:colOff>1276350</xdr:colOff>
      <xdr:row>1</xdr:row>
      <xdr:rowOff>152400</xdr:rowOff>
    </xdr:to>
    <xdr:sp macro="" textlink="">
      <xdr:nvSpPr>
        <xdr:cNvPr id="49" name="Rounded Rectangle 48">
          <a:hlinkClick xmlns:r="http://schemas.openxmlformats.org/officeDocument/2006/relationships" r:id="rId9"/>
        </xdr:cNvPr>
        <xdr:cNvSpPr/>
      </xdr:nvSpPr>
      <xdr:spPr>
        <a:xfrm>
          <a:off x="3781425" y="104775"/>
          <a:ext cx="904875" cy="238125"/>
        </a:xfrm>
        <a:prstGeom prst="roundRect">
          <a:avLst/>
        </a:prstGeom>
        <a:solidFill>
          <a:srgbClr val="00539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Time</a:t>
          </a:r>
          <a:r>
            <a:rPr lang="en-US" sz="1100" baseline="0"/>
            <a:t> F</a:t>
          </a:r>
          <a:r>
            <a:rPr lang="en-US" sz="1100"/>
            <a:t>rame</a:t>
          </a:r>
        </a:p>
      </xdr:txBody>
    </xdr:sp>
    <xdr:clientData/>
  </xdr:twoCellAnchor>
  <xdr:twoCellAnchor>
    <xdr:from>
      <xdr:col>4</xdr:col>
      <xdr:colOff>119063</xdr:colOff>
      <xdr:row>0</xdr:row>
      <xdr:rowOff>111919</xdr:rowOff>
    </xdr:from>
    <xdr:to>
      <xdr:col>5</xdr:col>
      <xdr:colOff>157163</xdr:colOff>
      <xdr:row>1</xdr:row>
      <xdr:rowOff>159544</xdr:rowOff>
    </xdr:to>
    <xdr:sp macro="" textlink="">
      <xdr:nvSpPr>
        <xdr:cNvPr id="52" name="Rounded Rectangle 51">
          <a:hlinkClick xmlns:r="http://schemas.openxmlformats.org/officeDocument/2006/relationships" r:id="rId10"/>
        </xdr:cNvPr>
        <xdr:cNvSpPr/>
      </xdr:nvSpPr>
      <xdr:spPr>
        <a:xfrm>
          <a:off x="4862513" y="111919"/>
          <a:ext cx="904875" cy="238125"/>
        </a:xfrm>
        <a:prstGeom prst="round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Store</a:t>
          </a:r>
        </a:p>
      </xdr:txBody>
    </xdr:sp>
    <xdr:clientData/>
  </xdr:twoCellAnchor>
  <xdr:twoCellAnchor>
    <xdr:from>
      <xdr:col>5</xdr:col>
      <xdr:colOff>333375</xdr:colOff>
      <xdr:row>0</xdr:row>
      <xdr:rowOff>119062</xdr:rowOff>
    </xdr:from>
    <xdr:to>
      <xdr:col>7</xdr:col>
      <xdr:colOff>19050</xdr:colOff>
      <xdr:row>1</xdr:row>
      <xdr:rowOff>166687</xdr:rowOff>
    </xdr:to>
    <xdr:sp macro="" textlink="">
      <xdr:nvSpPr>
        <xdr:cNvPr id="53" name="Rounded Rectangle 52">
          <a:hlinkClick xmlns:r="http://schemas.openxmlformats.org/officeDocument/2006/relationships" r:id="rId11"/>
        </xdr:cNvPr>
        <xdr:cNvSpPr/>
      </xdr:nvSpPr>
      <xdr:spPr>
        <a:xfrm>
          <a:off x="5943600" y="119062"/>
          <a:ext cx="904875" cy="238125"/>
        </a:xfrm>
        <a:prstGeom prst="round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Profit View</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352425</xdr:colOff>
      <xdr:row>0</xdr:row>
      <xdr:rowOff>19050</xdr:rowOff>
    </xdr:from>
    <xdr:to>
      <xdr:col>19</xdr:col>
      <xdr:colOff>602361</xdr:colOff>
      <xdr:row>31</xdr:row>
      <xdr:rowOff>28575</xdr:rowOff>
    </xdr:to>
    <xdr:sp macro="" textlink="">
      <xdr:nvSpPr>
        <xdr:cNvPr id="2" name="Moon 1"/>
        <xdr:cNvSpPr/>
      </xdr:nvSpPr>
      <xdr:spPr>
        <a:xfrm flipH="1">
          <a:off x="10229850" y="19050"/>
          <a:ext cx="4517136" cy="5915025"/>
        </a:xfrm>
        <a:prstGeom prst="moon">
          <a:avLst/>
        </a:prstGeom>
        <a:solidFill>
          <a:schemeClr val="accent5">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xdr:row>
      <xdr:rowOff>76200</xdr:rowOff>
    </xdr:from>
    <xdr:to>
      <xdr:col>2</xdr:col>
      <xdr:colOff>866776</xdr:colOff>
      <xdr:row>13</xdr:row>
      <xdr:rowOff>104776</xdr:rowOff>
    </xdr:to>
    <xdr:sp macro="" textlink="">
      <xdr:nvSpPr>
        <xdr:cNvPr id="3" name="Oval 2"/>
        <xdr:cNvSpPr/>
      </xdr:nvSpPr>
      <xdr:spPr>
        <a:xfrm>
          <a:off x="0" y="457200"/>
          <a:ext cx="2314576" cy="2124076"/>
        </a:xfrm>
        <a:prstGeom prst="ellips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409575</xdr:colOff>
      <xdr:row>0</xdr:row>
      <xdr:rowOff>0</xdr:rowOff>
    </xdr:from>
    <xdr:to>
      <xdr:col>20</xdr:col>
      <xdr:colOff>49911</xdr:colOff>
      <xdr:row>31</xdr:row>
      <xdr:rowOff>66675</xdr:rowOff>
    </xdr:to>
    <xdr:sp macro="" textlink="">
      <xdr:nvSpPr>
        <xdr:cNvPr id="4" name="Moon 3"/>
        <xdr:cNvSpPr/>
      </xdr:nvSpPr>
      <xdr:spPr>
        <a:xfrm flipH="1">
          <a:off x="10287000" y="0"/>
          <a:ext cx="4517136" cy="5972175"/>
        </a:xfrm>
        <a:prstGeom prst="moon">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28575</xdr:colOff>
      <xdr:row>0</xdr:row>
      <xdr:rowOff>0</xdr:rowOff>
    </xdr:from>
    <xdr:to>
      <xdr:col>12</xdr:col>
      <xdr:colOff>391668</xdr:colOff>
      <xdr:row>2</xdr:row>
      <xdr:rowOff>131064</xdr:rowOff>
    </xdr:to>
    <xdr:sp macro="" textlink="">
      <xdr:nvSpPr>
        <xdr:cNvPr id="5" name="Rounded Rectangle 4"/>
        <xdr:cNvSpPr/>
      </xdr:nvSpPr>
      <xdr:spPr>
        <a:xfrm>
          <a:off x="1152525" y="0"/>
          <a:ext cx="9116568" cy="512064"/>
        </a:xfrm>
        <a:prstGeom prst="roundRect">
          <a:avLst/>
        </a:prstGeom>
        <a:gradFill flip="none" rotWithShape="1">
          <a:gsLst>
            <a:gs pos="0">
              <a:schemeClr val="bg1">
                <a:lumMod val="95000"/>
              </a:schemeClr>
            </a:gs>
            <a:gs pos="35000">
              <a:schemeClr val="bg1"/>
            </a:gs>
            <a:gs pos="100000">
              <a:schemeClr val="bg1">
                <a:lumMod val="95000"/>
              </a:schemeClr>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781050</xdr:colOff>
      <xdr:row>4</xdr:row>
      <xdr:rowOff>114300</xdr:rowOff>
    </xdr:from>
    <xdr:to>
      <xdr:col>14</xdr:col>
      <xdr:colOff>247650</xdr:colOff>
      <xdr:row>28</xdr:row>
      <xdr:rowOff>38100</xdr:rowOff>
    </xdr:to>
    <xdr:sp macro="" textlink="">
      <xdr:nvSpPr>
        <xdr:cNvPr id="6" name="Round Diagonal Corner Rectangle 5"/>
        <xdr:cNvSpPr/>
      </xdr:nvSpPr>
      <xdr:spPr>
        <a:xfrm>
          <a:off x="781050" y="876300"/>
          <a:ext cx="10563225" cy="4495800"/>
        </a:xfrm>
        <a:prstGeom prst="round2Diag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971550</xdr:colOff>
      <xdr:row>5</xdr:row>
      <xdr:rowOff>47625</xdr:rowOff>
    </xdr:from>
    <xdr:to>
      <xdr:col>14</xdr:col>
      <xdr:colOff>85725</xdr:colOff>
      <xdr:row>28</xdr:row>
      <xdr:rowOff>0</xdr:rowOff>
    </xdr:to>
    <xdr:sp macro="" textlink="">
      <xdr:nvSpPr>
        <xdr:cNvPr id="7" name="Round Diagonal Corner Rectangle 6"/>
        <xdr:cNvSpPr/>
      </xdr:nvSpPr>
      <xdr:spPr>
        <a:xfrm>
          <a:off x="971550" y="1000125"/>
          <a:ext cx="10210800" cy="4333875"/>
        </a:xfrm>
        <a:prstGeom prst="round2DiagRect">
          <a:avLst/>
        </a:prstGeom>
        <a:solidFill>
          <a:schemeClr val="bg1"/>
        </a:solidFill>
        <a:ln>
          <a:noFill/>
        </a:ln>
        <a:effectLst>
          <a:outerShdw blurRad="63500" sx="102000" sy="102000" algn="ctr" rotWithShape="0">
            <a:prstClr val="black">
              <a:alpha val="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295276</xdr:colOff>
      <xdr:row>6</xdr:row>
      <xdr:rowOff>19050</xdr:rowOff>
    </xdr:from>
    <xdr:to>
      <xdr:col>13</xdr:col>
      <xdr:colOff>542925</xdr:colOff>
      <xdr:row>27</xdr:row>
      <xdr:rowOff>95251</xdr:rowOff>
    </xdr:to>
    <xdr:sp macro="" textlink="">
      <xdr:nvSpPr>
        <xdr:cNvPr id="8" name="Round Diagonal Corner Rectangle 7"/>
        <xdr:cNvSpPr/>
      </xdr:nvSpPr>
      <xdr:spPr>
        <a:xfrm>
          <a:off x="3705226" y="1162050"/>
          <a:ext cx="7324724" cy="4076701"/>
        </a:xfrm>
        <a:prstGeom prst="round2DiagRect">
          <a:avLst/>
        </a:prstGeom>
        <a:solidFill>
          <a:schemeClr val="bg1"/>
        </a:solidFill>
        <a:ln>
          <a:noFill/>
        </a:ln>
        <a:effectLst>
          <a:outerShdw blurRad="63500" sx="102000" sy="102000" algn="ctr" rotWithShape="0">
            <a:prstClr val="black">
              <a:alpha val="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Stores</a:t>
          </a:r>
        </a:p>
      </xdr:txBody>
    </xdr:sp>
    <xdr:clientData/>
  </xdr:twoCellAnchor>
  <xdr:twoCellAnchor>
    <xdr:from>
      <xdr:col>3</xdr:col>
      <xdr:colOff>733425</xdr:colOff>
      <xdr:row>8</xdr:row>
      <xdr:rowOff>28575</xdr:rowOff>
    </xdr:from>
    <xdr:to>
      <xdr:col>13</xdr:col>
      <xdr:colOff>238125</xdr:colOff>
      <xdr:row>26</xdr:row>
      <xdr:rowOff>133350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114300</xdr:colOff>
      <xdr:row>6</xdr:row>
      <xdr:rowOff>180975</xdr:rowOff>
    </xdr:from>
    <xdr:to>
      <xdr:col>13</xdr:col>
      <xdr:colOff>180975</xdr:colOff>
      <xdr:row>8</xdr:row>
      <xdr:rowOff>76200</xdr:rowOff>
    </xdr:to>
    <xdr:sp macro="" textlink="">
      <xdr:nvSpPr>
        <xdr:cNvPr id="10" name="TextBox 9"/>
        <xdr:cNvSpPr txBox="1"/>
      </xdr:nvSpPr>
      <xdr:spPr>
        <a:xfrm>
          <a:off x="5724525" y="1323975"/>
          <a:ext cx="49434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u="sng">
              <a:solidFill>
                <a:schemeClr val="bg2">
                  <a:lumMod val="75000"/>
                </a:schemeClr>
              </a:solidFill>
              <a:latin typeface="Arial Rounded MT Bold" panose="020F0704030504030204" pitchFamily="34" charset="0"/>
            </a:rPr>
            <a:t>Total Revenue vs Total Target by Stores</a:t>
          </a:r>
        </a:p>
      </xdr:txBody>
    </xdr:sp>
    <xdr:clientData/>
  </xdr:twoCellAnchor>
  <xdr:twoCellAnchor editAs="oneCell">
    <xdr:from>
      <xdr:col>1</xdr:col>
      <xdr:colOff>228601</xdr:colOff>
      <xdr:row>9</xdr:row>
      <xdr:rowOff>0</xdr:rowOff>
    </xdr:from>
    <xdr:to>
      <xdr:col>3</xdr:col>
      <xdr:colOff>133351</xdr:colOff>
      <xdr:row>19</xdr:row>
      <xdr:rowOff>76200</xdr:rowOff>
    </xdr:to>
    <mc:AlternateContent xmlns:mc="http://schemas.openxmlformats.org/markup-compatibility/2006" xmlns:a14="http://schemas.microsoft.com/office/drawing/2010/main">
      <mc:Choice Requires="a14">
        <xdr:graphicFrame macro="">
          <xdr:nvGraphicFramePr>
            <xdr:cNvPr id="11" name="Month 2"/>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1352551" y="1714500"/>
              <a:ext cx="219075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228600</xdr:colOff>
      <xdr:row>20</xdr:row>
      <xdr:rowOff>2</xdr:rowOff>
    </xdr:from>
    <xdr:to>
      <xdr:col>3</xdr:col>
      <xdr:colOff>95249</xdr:colOff>
      <xdr:row>22</xdr:row>
      <xdr:rowOff>19050</xdr:rowOff>
    </xdr:to>
    <xdr:sp macro="" textlink="Sheet3!C10">
      <xdr:nvSpPr>
        <xdr:cNvPr id="12" name="Round Diagonal Corner Rectangle 11"/>
        <xdr:cNvSpPr/>
      </xdr:nvSpPr>
      <xdr:spPr>
        <a:xfrm>
          <a:off x="1352550" y="3810002"/>
          <a:ext cx="2152649" cy="400048"/>
        </a:xfrm>
        <a:prstGeom prst="round2DiagRect">
          <a:avLst/>
        </a:prstGeom>
        <a:solidFill>
          <a:schemeClr val="bg1">
            <a:lumMod val="95000"/>
          </a:schemeClr>
        </a:solidFill>
        <a:ln>
          <a:noFill/>
        </a:ln>
        <a:effectLst>
          <a:outerShdw blurRad="63500" sx="102000" sy="102000" algn="ctr" rotWithShape="0">
            <a:prstClr val="black">
              <a:alpha val="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fld id="{5ECDC2F8-EBDB-4EC7-B2EA-A2A8531E49FA}" type="TxLink">
            <a:rPr lang="en-US" sz="1200" b="1" i="0" u="none" strike="noStrike">
              <a:solidFill>
                <a:schemeClr val="bg1">
                  <a:lumMod val="65000"/>
                </a:schemeClr>
              </a:solidFill>
              <a:latin typeface="Calibri"/>
              <a:cs typeface="Calibri"/>
            </a:rPr>
            <a:pPr algn="r"/>
            <a:t>$443.45K</a:t>
          </a:fld>
          <a:endParaRPr lang="en-US" sz="1200" b="1">
            <a:solidFill>
              <a:schemeClr val="bg1">
                <a:lumMod val="65000"/>
              </a:schemeClr>
            </a:solidFill>
          </a:endParaRPr>
        </a:p>
      </xdr:txBody>
    </xdr:sp>
    <xdr:clientData/>
  </xdr:twoCellAnchor>
  <xdr:twoCellAnchor>
    <xdr:from>
      <xdr:col>1</xdr:col>
      <xdr:colOff>228600</xdr:colOff>
      <xdr:row>22</xdr:row>
      <xdr:rowOff>114302</xdr:rowOff>
    </xdr:from>
    <xdr:to>
      <xdr:col>3</xdr:col>
      <xdr:colOff>95249</xdr:colOff>
      <xdr:row>24</xdr:row>
      <xdr:rowOff>123825</xdr:rowOff>
    </xdr:to>
    <xdr:sp macro="" textlink="Sheet3!D10">
      <xdr:nvSpPr>
        <xdr:cNvPr id="13" name="Round Diagonal Corner Rectangle 12"/>
        <xdr:cNvSpPr/>
      </xdr:nvSpPr>
      <xdr:spPr>
        <a:xfrm>
          <a:off x="1352550" y="4305302"/>
          <a:ext cx="2152649" cy="390523"/>
        </a:xfrm>
        <a:prstGeom prst="round2DiagRect">
          <a:avLst/>
        </a:prstGeom>
        <a:solidFill>
          <a:schemeClr val="bg1">
            <a:lumMod val="95000"/>
          </a:schemeClr>
        </a:solidFill>
        <a:ln>
          <a:noFill/>
        </a:ln>
        <a:effectLst>
          <a:outerShdw blurRad="63500" sx="102000" sy="102000" algn="ctr" rotWithShape="0">
            <a:prstClr val="black">
              <a:alpha val="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fld id="{52093C9E-D7E6-469A-AF88-03D598A0872F}" type="TxLink">
            <a:rPr lang="en-US" sz="1200" b="1" i="0" u="none" strike="noStrike">
              <a:solidFill>
                <a:schemeClr val="bg1">
                  <a:lumMod val="65000"/>
                </a:schemeClr>
              </a:solidFill>
              <a:latin typeface="Calibri"/>
              <a:cs typeface="Calibri"/>
            </a:rPr>
            <a:pPr algn="r"/>
            <a:t>$446.91K</a:t>
          </a:fld>
          <a:endParaRPr lang="en-US" sz="1200" b="1">
            <a:solidFill>
              <a:schemeClr val="bg1">
                <a:lumMod val="65000"/>
              </a:schemeClr>
            </a:solidFill>
          </a:endParaRPr>
        </a:p>
      </xdr:txBody>
    </xdr:sp>
    <xdr:clientData/>
  </xdr:twoCellAnchor>
  <xdr:twoCellAnchor>
    <xdr:from>
      <xdr:col>1</xdr:col>
      <xdr:colOff>228600</xdr:colOff>
      <xdr:row>25</xdr:row>
      <xdr:rowOff>28576</xdr:rowOff>
    </xdr:from>
    <xdr:to>
      <xdr:col>3</xdr:col>
      <xdr:colOff>95249</xdr:colOff>
      <xdr:row>27</xdr:row>
      <xdr:rowOff>38099</xdr:rowOff>
    </xdr:to>
    <xdr:sp macro="" textlink="Sheet3!C19">
      <xdr:nvSpPr>
        <xdr:cNvPr id="14" name="Round Diagonal Corner Rectangle 13"/>
        <xdr:cNvSpPr/>
      </xdr:nvSpPr>
      <xdr:spPr>
        <a:xfrm>
          <a:off x="1352550" y="4791076"/>
          <a:ext cx="2152649" cy="390523"/>
        </a:xfrm>
        <a:prstGeom prst="round2DiagRect">
          <a:avLst/>
        </a:prstGeom>
        <a:solidFill>
          <a:schemeClr val="bg1">
            <a:lumMod val="95000"/>
          </a:schemeClr>
        </a:solidFill>
        <a:ln>
          <a:noFill/>
        </a:ln>
        <a:effectLst>
          <a:outerShdw blurRad="63500" sx="102000" sy="102000" algn="ctr" rotWithShape="0">
            <a:prstClr val="black">
              <a:alpha val="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r"/>
          <a:fld id="{EBFD35EF-B3FB-4705-A894-2888387CE6CF}" type="TxLink">
            <a:rPr lang="en-US" sz="1200" b="1" i="0" u="none" strike="noStrike">
              <a:solidFill>
                <a:schemeClr val="bg1">
                  <a:lumMod val="65000"/>
                </a:schemeClr>
              </a:solidFill>
              <a:latin typeface="Calibri"/>
              <a:ea typeface="+mn-ea"/>
              <a:cs typeface="Calibri"/>
            </a:rPr>
            <a:pPr marL="0" indent="0" algn="r"/>
            <a:t>↓-0.8%</a:t>
          </a:fld>
          <a:endParaRPr lang="en-US" sz="1200" b="1" i="0" u="none" strike="noStrike">
            <a:solidFill>
              <a:schemeClr val="bg1">
                <a:lumMod val="65000"/>
              </a:schemeClr>
            </a:solidFill>
            <a:latin typeface="Calibri"/>
            <a:ea typeface="+mn-ea"/>
            <a:cs typeface="Calibri"/>
          </a:endParaRPr>
        </a:p>
      </xdr:txBody>
    </xdr:sp>
    <xdr:clientData/>
  </xdr:twoCellAnchor>
  <xdr:twoCellAnchor>
    <xdr:from>
      <xdr:col>1</xdr:col>
      <xdr:colOff>352425</xdr:colOff>
      <xdr:row>20</xdr:row>
      <xdr:rowOff>109539</xdr:rowOff>
    </xdr:from>
    <xdr:to>
      <xdr:col>1</xdr:col>
      <xdr:colOff>523875</xdr:colOff>
      <xdr:row>21</xdr:row>
      <xdr:rowOff>100014</xdr:rowOff>
    </xdr:to>
    <xdr:sp macro="" textlink="">
      <xdr:nvSpPr>
        <xdr:cNvPr id="15" name="Oval 14"/>
        <xdr:cNvSpPr/>
      </xdr:nvSpPr>
      <xdr:spPr>
        <a:xfrm>
          <a:off x="1476375" y="3919539"/>
          <a:ext cx="171450" cy="180975"/>
        </a:xfrm>
        <a:prstGeom prst="ellipse">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352425</xdr:colOff>
      <xdr:row>23</xdr:row>
      <xdr:rowOff>28576</xdr:rowOff>
    </xdr:from>
    <xdr:to>
      <xdr:col>1</xdr:col>
      <xdr:colOff>523875</xdr:colOff>
      <xdr:row>24</xdr:row>
      <xdr:rowOff>19051</xdr:rowOff>
    </xdr:to>
    <xdr:sp macro="" textlink="">
      <xdr:nvSpPr>
        <xdr:cNvPr id="16" name="Oval 15"/>
        <xdr:cNvSpPr/>
      </xdr:nvSpPr>
      <xdr:spPr>
        <a:xfrm>
          <a:off x="1476375" y="4410076"/>
          <a:ext cx="171450" cy="180975"/>
        </a:xfrm>
        <a:prstGeom prst="ellipse">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352425</xdr:colOff>
      <xdr:row>25</xdr:row>
      <xdr:rowOff>147639</xdr:rowOff>
    </xdr:from>
    <xdr:to>
      <xdr:col>1</xdr:col>
      <xdr:colOff>523875</xdr:colOff>
      <xdr:row>26</xdr:row>
      <xdr:rowOff>138114</xdr:rowOff>
    </xdr:to>
    <xdr:sp macro="" textlink="">
      <xdr:nvSpPr>
        <xdr:cNvPr id="17" name="Oval 16"/>
        <xdr:cNvSpPr/>
      </xdr:nvSpPr>
      <xdr:spPr>
        <a:xfrm>
          <a:off x="1476375" y="4910139"/>
          <a:ext cx="171450" cy="180975"/>
        </a:xfrm>
        <a:prstGeom prst="ellipse">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561975</xdr:colOff>
      <xdr:row>20</xdr:row>
      <xdr:rowOff>76199</xdr:rowOff>
    </xdr:from>
    <xdr:to>
      <xdr:col>2</xdr:col>
      <xdr:colOff>647700</xdr:colOff>
      <xdr:row>21</xdr:row>
      <xdr:rowOff>123824</xdr:rowOff>
    </xdr:to>
    <xdr:sp macro="" textlink="">
      <xdr:nvSpPr>
        <xdr:cNvPr id="18" name="TextBox 17"/>
        <xdr:cNvSpPr txBox="1"/>
      </xdr:nvSpPr>
      <xdr:spPr>
        <a:xfrm>
          <a:off x="1685925" y="3886199"/>
          <a:ext cx="1114425" cy="2381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lumMod val="50000"/>
                </a:schemeClr>
              </a:solidFill>
            </a:rPr>
            <a:t>Total Revenue</a:t>
          </a:r>
        </a:p>
      </xdr:txBody>
    </xdr:sp>
    <xdr:clientData/>
  </xdr:twoCellAnchor>
  <xdr:twoCellAnchor>
    <xdr:from>
      <xdr:col>1</xdr:col>
      <xdr:colOff>533400</xdr:colOff>
      <xdr:row>22</xdr:row>
      <xdr:rowOff>180974</xdr:rowOff>
    </xdr:from>
    <xdr:to>
      <xdr:col>2</xdr:col>
      <xdr:colOff>657225</xdr:colOff>
      <xdr:row>24</xdr:row>
      <xdr:rowOff>38099</xdr:rowOff>
    </xdr:to>
    <xdr:sp macro="" textlink="">
      <xdr:nvSpPr>
        <xdr:cNvPr id="19" name="TextBox 18"/>
        <xdr:cNvSpPr txBox="1"/>
      </xdr:nvSpPr>
      <xdr:spPr>
        <a:xfrm>
          <a:off x="1657350" y="4371974"/>
          <a:ext cx="1152525" cy="2381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lumMod val="50000"/>
                </a:schemeClr>
              </a:solidFill>
            </a:rPr>
            <a:t>Total Target</a:t>
          </a:r>
        </a:p>
      </xdr:txBody>
    </xdr:sp>
    <xdr:clientData/>
  </xdr:twoCellAnchor>
  <xdr:twoCellAnchor>
    <xdr:from>
      <xdr:col>1</xdr:col>
      <xdr:colOff>561976</xdr:colOff>
      <xdr:row>25</xdr:row>
      <xdr:rowOff>95249</xdr:rowOff>
    </xdr:from>
    <xdr:to>
      <xdr:col>2</xdr:col>
      <xdr:colOff>600076</xdr:colOff>
      <xdr:row>26</xdr:row>
      <xdr:rowOff>142874</xdr:rowOff>
    </xdr:to>
    <xdr:sp macro="" textlink="">
      <xdr:nvSpPr>
        <xdr:cNvPr id="20" name="TextBox 19"/>
        <xdr:cNvSpPr txBox="1"/>
      </xdr:nvSpPr>
      <xdr:spPr>
        <a:xfrm>
          <a:off x="1685926" y="4857749"/>
          <a:ext cx="1066800" cy="2381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lumMod val="50000"/>
                </a:schemeClr>
              </a:solidFill>
            </a:rPr>
            <a:t>Variance</a:t>
          </a:r>
          <a:r>
            <a:rPr lang="en-US" sz="1000" b="1" baseline="0">
              <a:solidFill>
                <a:schemeClr val="bg1">
                  <a:lumMod val="50000"/>
                </a:schemeClr>
              </a:solidFill>
            </a:rPr>
            <a:t> %</a:t>
          </a:r>
          <a:endParaRPr lang="en-US" sz="1000" b="1">
            <a:solidFill>
              <a:schemeClr val="bg1">
                <a:lumMod val="50000"/>
              </a:schemeClr>
            </a:solidFill>
          </a:endParaRPr>
        </a:p>
      </xdr:txBody>
    </xdr:sp>
    <xdr:clientData/>
  </xdr:twoCellAnchor>
  <xdr:twoCellAnchor>
    <xdr:from>
      <xdr:col>4</xdr:col>
      <xdr:colOff>800100</xdr:colOff>
      <xdr:row>0</xdr:row>
      <xdr:rowOff>66675</xdr:rowOff>
    </xdr:from>
    <xdr:to>
      <xdr:col>6</xdr:col>
      <xdr:colOff>228600</xdr:colOff>
      <xdr:row>1</xdr:row>
      <xdr:rowOff>114300</xdr:rowOff>
    </xdr:to>
    <xdr:sp macro="" textlink="">
      <xdr:nvSpPr>
        <xdr:cNvPr id="21" name="Rounded Rectangle 20">
          <a:hlinkClick xmlns:r="http://schemas.openxmlformats.org/officeDocument/2006/relationships" r:id="rId2"/>
        </xdr:cNvPr>
        <xdr:cNvSpPr/>
      </xdr:nvSpPr>
      <xdr:spPr>
        <a:xfrm>
          <a:off x="5543550" y="66675"/>
          <a:ext cx="904875" cy="238125"/>
        </a:xfrm>
        <a:prstGeom prst="round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Time</a:t>
          </a:r>
          <a:r>
            <a:rPr lang="en-US" sz="1100" baseline="0"/>
            <a:t> F</a:t>
          </a:r>
          <a:r>
            <a:rPr lang="en-US" sz="1100"/>
            <a:t>rame</a:t>
          </a:r>
        </a:p>
      </xdr:txBody>
    </xdr:sp>
    <xdr:clientData/>
  </xdr:twoCellAnchor>
  <xdr:twoCellAnchor>
    <xdr:from>
      <xdr:col>6</xdr:col>
      <xdr:colOff>404813</xdr:colOff>
      <xdr:row>0</xdr:row>
      <xdr:rowOff>73819</xdr:rowOff>
    </xdr:from>
    <xdr:to>
      <xdr:col>8</xdr:col>
      <xdr:colOff>90488</xdr:colOff>
      <xdr:row>1</xdr:row>
      <xdr:rowOff>121444</xdr:rowOff>
    </xdr:to>
    <xdr:sp macro="" textlink="">
      <xdr:nvSpPr>
        <xdr:cNvPr id="22" name="Rounded Rectangle 21">
          <a:hlinkClick xmlns:r="http://schemas.openxmlformats.org/officeDocument/2006/relationships" r:id="rId3"/>
        </xdr:cNvPr>
        <xdr:cNvSpPr/>
      </xdr:nvSpPr>
      <xdr:spPr>
        <a:xfrm>
          <a:off x="6624638" y="73819"/>
          <a:ext cx="904875" cy="238125"/>
        </a:xfrm>
        <a:prstGeom prst="roundRect">
          <a:avLst/>
        </a:prstGeom>
        <a:solidFill>
          <a:srgbClr val="00539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Store</a:t>
          </a:r>
        </a:p>
      </xdr:txBody>
    </xdr:sp>
    <xdr:clientData/>
  </xdr:twoCellAnchor>
  <xdr:twoCellAnchor>
    <xdr:from>
      <xdr:col>8</xdr:col>
      <xdr:colOff>266700</xdr:colOff>
      <xdr:row>0</xdr:row>
      <xdr:rowOff>80962</xdr:rowOff>
    </xdr:from>
    <xdr:to>
      <xdr:col>9</xdr:col>
      <xdr:colOff>561975</xdr:colOff>
      <xdr:row>1</xdr:row>
      <xdr:rowOff>128587</xdr:rowOff>
    </xdr:to>
    <xdr:sp macro="" textlink="">
      <xdr:nvSpPr>
        <xdr:cNvPr id="23" name="Rounded Rectangle 22">
          <a:hlinkClick xmlns:r="http://schemas.openxmlformats.org/officeDocument/2006/relationships" r:id="rId4"/>
        </xdr:cNvPr>
        <xdr:cNvSpPr/>
      </xdr:nvSpPr>
      <xdr:spPr>
        <a:xfrm>
          <a:off x="7705725" y="80962"/>
          <a:ext cx="904875" cy="238125"/>
        </a:xfrm>
        <a:prstGeom prst="round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Profit View</a:t>
          </a:r>
        </a:p>
      </xdr:txBody>
    </xdr:sp>
    <xdr:clientData/>
  </xdr:twoCellAnchor>
  <xdr:twoCellAnchor editAs="oneCell">
    <xdr:from>
      <xdr:col>1</xdr:col>
      <xdr:colOff>133350</xdr:colOff>
      <xdr:row>0</xdr:row>
      <xdr:rowOff>95250</xdr:rowOff>
    </xdr:from>
    <xdr:to>
      <xdr:col>3</xdr:col>
      <xdr:colOff>48197</xdr:colOff>
      <xdr:row>1</xdr:row>
      <xdr:rowOff>114300</xdr:rowOff>
    </xdr:to>
    <xdr:pic>
      <xdr:nvPicPr>
        <xdr:cNvPr id="24" name="Picture 23"/>
        <xdr:cNvPicPr>
          <a:picLocks noChangeAspect="1"/>
        </xdr:cNvPicPr>
      </xdr:nvPicPr>
      <xdr:blipFill>
        <a:blip xmlns:r="http://schemas.openxmlformats.org/officeDocument/2006/relationships" r:embed="rId5"/>
        <a:stretch>
          <a:fillRect/>
        </a:stretch>
      </xdr:blipFill>
      <xdr:spPr>
        <a:xfrm>
          <a:off x="1257300" y="95250"/>
          <a:ext cx="2200847" cy="2095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12</xdr:col>
      <xdr:colOff>352425</xdr:colOff>
      <xdr:row>0</xdr:row>
      <xdr:rowOff>19050</xdr:rowOff>
    </xdr:from>
    <xdr:to>
      <xdr:col>19</xdr:col>
      <xdr:colOff>602361</xdr:colOff>
      <xdr:row>31</xdr:row>
      <xdr:rowOff>28575</xdr:rowOff>
    </xdr:to>
    <xdr:sp macro="" textlink="">
      <xdr:nvSpPr>
        <xdr:cNvPr id="23" name="Moon 22"/>
        <xdr:cNvSpPr/>
      </xdr:nvSpPr>
      <xdr:spPr>
        <a:xfrm flipH="1">
          <a:off x="12001500" y="19050"/>
          <a:ext cx="4517136" cy="5915025"/>
        </a:xfrm>
        <a:prstGeom prst="moon">
          <a:avLst/>
        </a:prstGeom>
        <a:solidFill>
          <a:schemeClr val="accent5">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228599</xdr:colOff>
      <xdr:row>2</xdr:row>
      <xdr:rowOff>85724</xdr:rowOff>
    </xdr:from>
    <xdr:to>
      <xdr:col>2</xdr:col>
      <xdr:colOff>1095375</xdr:colOff>
      <xdr:row>18</xdr:row>
      <xdr:rowOff>76199</xdr:rowOff>
    </xdr:to>
    <xdr:sp macro="" textlink="">
      <xdr:nvSpPr>
        <xdr:cNvPr id="6" name="Oval 5"/>
        <xdr:cNvSpPr/>
      </xdr:nvSpPr>
      <xdr:spPr>
        <a:xfrm>
          <a:off x="2000249" y="466724"/>
          <a:ext cx="3019426" cy="3038475"/>
        </a:xfrm>
        <a:prstGeom prst="ellips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409575</xdr:colOff>
      <xdr:row>0</xdr:row>
      <xdr:rowOff>0</xdr:rowOff>
    </xdr:from>
    <xdr:to>
      <xdr:col>20</xdr:col>
      <xdr:colOff>49911</xdr:colOff>
      <xdr:row>31</xdr:row>
      <xdr:rowOff>66675</xdr:rowOff>
    </xdr:to>
    <xdr:sp macro="" textlink="">
      <xdr:nvSpPr>
        <xdr:cNvPr id="2" name="Moon 1"/>
        <xdr:cNvSpPr/>
      </xdr:nvSpPr>
      <xdr:spPr>
        <a:xfrm flipH="1">
          <a:off x="12058650" y="0"/>
          <a:ext cx="4517136" cy="5972175"/>
        </a:xfrm>
        <a:prstGeom prst="moon">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28575</xdr:colOff>
      <xdr:row>0</xdr:row>
      <xdr:rowOff>0</xdr:rowOff>
    </xdr:from>
    <xdr:to>
      <xdr:col>12</xdr:col>
      <xdr:colOff>391668</xdr:colOff>
      <xdr:row>2</xdr:row>
      <xdr:rowOff>131064</xdr:rowOff>
    </xdr:to>
    <xdr:sp macro="" textlink="">
      <xdr:nvSpPr>
        <xdr:cNvPr id="3" name="Rounded Rectangle 2"/>
        <xdr:cNvSpPr/>
      </xdr:nvSpPr>
      <xdr:spPr>
        <a:xfrm>
          <a:off x="2924175" y="0"/>
          <a:ext cx="9116568" cy="512064"/>
        </a:xfrm>
        <a:prstGeom prst="roundRect">
          <a:avLst/>
        </a:prstGeom>
        <a:gradFill flip="none" rotWithShape="1">
          <a:gsLst>
            <a:gs pos="0">
              <a:schemeClr val="bg1">
                <a:lumMod val="95000"/>
              </a:schemeClr>
            </a:gs>
            <a:gs pos="35000">
              <a:schemeClr val="bg1"/>
            </a:gs>
            <a:gs pos="100000">
              <a:schemeClr val="bg1">
                <a:lumMod val="95000"/>
              </a:schemeClr>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781050</xdr:colOff>
      <xdr:row>4</xdr:row>
      <xdr:rowOff>114300</xdr:rowOff>
    </xdr:from>
    <xdr:to>
      <xdr:col>14</xdr:col>
      <xdr:colOff>247650</xdr:colOff>
      <xdr:row>28</xdr:row>
      <xdr:rowOff>38100</xdr:rowOff>
    </xdr:to>
    <xdr:sp macro="" textlink="">
      <xdr:nvSpPr>
        <xdr:cNvPr id="4" name="Round Diagonal Corner Rectangle 3"/>
        <xdr:cNvSpPr/>
      </xdr:nvSpPr>
      <xdr:spPr>
        <a:xfrm>
          <a:off x="2552700" y="876300"/>
          <a:ext cx="10563225" cy="4495800"/>
        </a:xfrm>
        <a:prstGeom prst="round2Diag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971550</xdr:colOff>
      <xdr:row>5</xdr:row>
      <xdr:rowOff>47625</xdr:rowOff>
    </xdr:from>
    <xdr:to>
      <xdr:col>14</xdr:col>
      <xdr:colOff>85725</xdr:colOff>
      <xdr:row>28</xdr:row>
      <xdr:rowOff>0</xdr:rowOff>
    </xdr:to>
    <xdr:sp macro="" textlink="">
      <xdr:nvSpPr>
        <xdr:cNvPr id="5" name="Round Diagonal Corner Rectangle 4"/>
        <xdr:cNvSpPr/>
      </xdr:nvSpPr>
      <xdr:spPr>
        <a:xfrm>
          <a:off x="2743200" y="1000125"/>
          <a:ext cx="10210800" cy="4333875"/>
        </a:xfrm>
        <a:prstGeom prst="round2DiagRect">
          <a:avLst/>
        </a:prstGeom>
        <a:solidFill>
          <a:schemeClr val="bg1"/>
        </a:solidFill>
        <a:ln>
          <a:noFill/>
        </a:ln>
        <a:effectLst>
          <a:outerShdw blurRad="63500" sx="102000" sy="102000" algn="ctr" rotWithShape="0">
            <a:prstClr val="black">
              <a:alpha val="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295276</xdr:colOff>
      <xdr:row>6</xdr:row>
      <xdr:rowOff>19050</xdr:rowOff>
    </xdr:from>
    <xdr:to>
      <xdr:col>13</xdr:col>
      <xdr:colOff>542925</xdr:colOff>
      <xdr:row>27</xdr:row>
      <xdr:rowOff>95251</xdr:rowOff>
    </xdr:to>
    <xdr:sp macro="" textlink="">
      <xdr:nvSpPr>
        <xdr:cNvPr id="7" name="Round Diagonal Corner Rectangle 6"/>
        <xdr:cNvSpPr/>
      </xdr:nvSpPr>
      <xdr:spPr>
        <a:xfrm>
          <a:off x="5476876" y="1162050"/>
          <a:ext cx="7324724" cy="4076701"/>
        </a:xfrm>
        <a:prstGeom prst="round2DiagRect">
          <a:avLst/>
        </a:prstGeom>
        <a:solidFill>
          <a:schemeClr val="bg1"/>
        </a:solidFill>
        <a:ln>
          <a:noFill/>
        </a:ln>
        <a:effectLst>
          <a:outerShdw blurRad="63500" sx="102000" sy="102000" algn="ctr" rotWithShape="0">
            <a:prstClr val="black">
              <a:alpha val="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Stores</a:t>
          </a:r>
        </a:p>
      </xdr:txBody>
    </xdr:sp>
    <xdr:clientData/>
  </xdr:twoCellAnchor>
  <xdr:twoCellAnchor>
    <xdr:from>
      <xdr:col>3</xdr:col>
      <xdr:colOff>733425</xdr:colOff>
      <xdr:row>8</xdr:row>
      <xdr:rowOff>28575</xdr:rowOff>
    </xdr:from>
    <xdr:to>
      <xdr:col>13</xdr:col>
      <xdr:colOff>238125</xdr:colOff>
      <xdr:row>26</xdr:row>
      <xdr:rowOff>133350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114300</xdr:colOff>
      <xdr:row>6</xdr:row>
      <xdr:rowOff>180975</xdr:rowOff>
    </xdr:from>
    <xdr:to>
      <xdr:col>13</xdr:col>
      <xdr:colOff>180975</xdr:colOff>
      <xdr:row>8</xdr:row>
      <xdr:rowOff>76200</xdr:rowOff>
    </xdr:to>
    <xdr:sp macro="" textlink="">
      <xdr:nvSpPr>
        <xdr:cNvPr id="9" name="TextBox 8"/>
        <xdr:cNvSpPr txBox="1"/>
      </xdr:nvSpPr>
      <xdr:spPr>
        <a:xfrm>
          <a:off x="7496175" y="1323975"/>
          <a:ext cx="49434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u="sng">
              <a:solidFill>
                <a:schemeClr val="bg2">
                  <a:lumMod val="75000"/>
                </a:schemeClr>
              </a:solidFill>
              <a:latin typeface="Arial Rounded MT Bold" panose="020F0704030504030204" pitchFamily="34" charset="0"/>
            </a:rPr>
            <a:t>Total Revenue vs Total Target by Stores</a:t>
          </a:r>
        </a:p>
      </xdr:txBody>
    </xdr:sp>
    <xdr:clientData/>
  </xdr:twoCellAnchor>
  <xdr:twoCellAnchor editAs="oneCell">
    <xdr:from>
      <xdr:col>1</xdr:col>
      <xdr:colOff>228601</xdr:colOff>
      <xdr:row>9</xdr:row>
      <xdr:rowOff>0</xdr:rowOff>
    </xdr:from>
    <xdr:to>
      <xdr:col>3</xdr:col>
      <xdr:colOff>133351</xdr:colOff>
      <xdr:row>19</xdr:row>
      <xdr:rowOff>76200</xdr:rowOff>
    </xdr:to>
    <mc:AlternateContent xmlns:mc="http://schemas.openxmlformats.org/markup-compatibility/2006" xmlns:a14="http://schemas.microsoft.com/office/drawing/2010/main">
      <mc:Choice Requires="a14">
        <xdr:graphicFrame macro="">
          <xdr:nvGraphicFramePr>
            <xdr:cNvPr id="10"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124201" y="1714500"/>
              <a:ext cx="219075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228600</xdr:colOff>
      <xdr:row>20</xdr:row>
      <xdr:rowOff>2</xdr:rowOff>
    </xdr:from>
    <xdr:to>
      <xdr:col>3</xdr:col>
      <xdr:colOff>95249</xdr:colOff>
      <xdr:row>22</xdr:row>
      <xdr:rowOff>19050</xdr:rowOff>
    </xdr:to>
    <xdr:sp macro="" textlink="Sheet3!C10">
      <xdr:nvSpPr>
        <xdr:cNvPr id="11" name="Round Diagonal Corner Rectangle 10"/>
        <xdr:cNvSpPr/>
      </xdr:nvSpPr>
      <xdr:spPr>
        <a:xfrm>
          <a:off x="3124200" y="3810002"/>
          <a:ext cx="2152649" cy="400048"/>
        </a:xfrm>
        <a:prstGeom prst="round2DiagRect">
          <a:avLst/>
        </a:prstGeom>
        <a:solidFill>
          <a:schemeClr val="bg1">
            <a:lumMod val="95000"/>
          </a:schemeClr>
        </a:solidFill>
        <a:ln>
          <a:noFill/>
        </a:ln>
        <a:effectLst>
          <a:outerShdw blurRad="63500" sx="102000" sy="102000" algn="ctr" rotWithShape="0">
            <a:prstClr val="black">
              <a:alpha val="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fld id="{5ECDC2F8-EBDB-4EC7-B2EA-A2A8531E49FA}" type="TxLink">
            <a:rPr lang="en-US" sz="1200" b="1" i="0" u="none" strike="noStrike">
              <a:solidFill>
                <a:schemeClr val="bg1">
                  <a:lumMod val="65000"/>
                </a:schemeClr>
              </a:solidFill>
              <a:latin typeface="Calibri"/>
              <a:cs typeface="Calibri"/>
            </a:rPr>
            <a:pPr algn="r"/>
            <a:t>$443.45K</a:t>
          </a:fld>
          <a:endParaRPr lang="en-US" sz="1200" b="1">
            <a:solidFill>
              <a:schemeClr val="bg1">
                <a:lumMod val="65000"/>
              </a:schemeClr>
            </a:solidFill>
          </a:endParaRPr>
        </a:p>
      </xdr:txBody>
    </xdr:sp>
    <xdr:clientData/>
  </xdr:twoCellAnchor>
  <xdr:twoCellAnchor>
    <xdr:from>
      <xdr:col>1</xdr:col>
      <xdr:colOff>228600</xdr:colOff>
      <xdr:row>22</xdr:row>
      <xdr:rowOff>114302</xdr:rowOff>
    </xdr:from>
    <xdr:to>
      <xdr:col>3</xdr:col>
      <xdr:colOff>95249</xdr:colOff>
      <xdr:row>24</xdr:row>
      <xdr:rowOff>123825</xdr:rowOff>
    </xdr:to>
    <xdr:sp macro="" textlink="Sheet3!D10">
      <xdr:nvSpPr>
        <xdr:cNvPr id="12" name="Round Diagonal Corner Rectangle 11"/>
        <xdr:cNvSpPr/>
      </xdr:nvSpPr>
      <xdr:spPr>
        <a:xfrm>
          <a:off x="3124200" y="4305302"/>
          <a:ext cx="2152649" cy="390523"/>
        </a:xfrm>
        <a:prstGeom prst="round2DiagRect">
          <a:avLst/>
        </a:prstGeom>
        <a:solidFill>
          <a:schemeClr val="bg1">
            <a:lumMod val="95000"/>
          </a:schemeClr>
        </a:solidFill>
        <a:ln>
          <a:noFill/>
        </a:ln>
        <a:effectLst>
          <a:outerShdw blurRad="63500" sx="102000" sy="102000" algn="ctr" rotWithShape="0">
            <a:prstClr val="black">
              <a:alpha val="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fld id="{52093C9E-D7E6-469A-AF88-03D598A0872F}" type="TxLink">
            <a:rPr lang="en-US" sz="1200" b="1" i="0" u="none" strike="noStrike">
              <a:solidFill>
                <a:schemeClr val="bg1">
                  <a:lumMod val="65000"/>
                </a:schemeClr>
              </a:solidFill>
              <a:latin typeface="Calibri"/>
              <a:cs typeface="Calibri"/>
            </a:rPr>
            <a:pPr algn="r"/>
            <a:t>$446.91K</a:t>
          </a:fld>
          <a:endParaRPr lang="en-US" sz="1200" b="1">
            <a:solidFill>
              <a:schemeClr val="bg1">
                <a:lumMod val="65000"/>
              </a:schemeClr>
            </a:solidFill>
          </a:endParaRPr>
        </a:p>
      </xdr:txBody>
    </xdr:sp>
    <xdr:clientData/>
  </xdr:twoCellAnchor>
  <xdr:twoCellAnchor>
    <xdr:from>
      <xdr:col>1</xdr:col>
      <xdr:colOff>228600</xdr:colOff>
      <xdr:row>25</xdr:row>
      <xdr:rowOff>28576</xdr:rowOff>
    </xdr:from>
    <xdr:to>
      <xdr:col>3</xdr:col>
      <xdr:colOff>95249</xdr:colOff>
      <xdr:row>27</xdr:row>
      <xdr:rowOff>38099</xdr:rowOff>
    </xdr:to>
    <xdr:sp macro="" textlink="Sheet3!C19">
      <xdr:nvSpPr>
        <xdr:cNvPr id="13" name="Round Diagonal Corner Rectangle 12"/>
        <xdr:cNvSpPr/>
      </xdr:nvSpPr>
      <xdr:spPr>
        <a:xfrm>
          <a:off x="3124200" y="4791076"/>
          <a:ext cx="2152649" cy="390523"/>
        </a:xfrm>
        <a:prstGeom prst="round2DiagRect">
          <a:avLst/>
        </a:prstGeom>
        <a:solidFill>
          <a:schemeClr val="bg1">
            <a:lumMod val="95000"/>
          </a:schemeClr>
        </a:solidFill>
        <a:ln>
          <a:noFill/>
        </a:ln>
        <a:effectLst>
          <a:outerShdw blurRad="63500" sx="102000" sy="102000" algn="ctr" rotWithShape="0">
            <a:prstClr val="black">
              <a:alpha val="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r"/>
          <a:fld id="{EBFD35EF-B3FB-4705-A894-2888387CE6CF}" type="TxLink">
            <a:rPr lang="en-US" sz="1200" b="1" i="0" u="none" strike="noStrike">
              <a:solidFill>
                <a:schemeClr val="bg1">
                  <a:lumMod val="65000"/>
                </a:schemeClr>
              </a:solidFill>
              <a:latin typeface="Calibri"/>
              <a:ea typeface="+mn-ea"/>
              <a:cs typeface="Calibri"/>
            </a:rPr>
            <a:pPr marL="0" indent="0" algn="r"/>
            <a:t>↓-0.8%</a:t>
          </a:fld>
          <a:endParaRPr lang="en-US" sz="1200" b="1" i="0" u="none" strike="noStrike">
            <a:solidFill>
              <a:schemeClr val="bg1">
                <a:lumMod val="65000"/>
              </a:schemeClr>
            </a:solidFill>
            <a:latin typeface="Calibri"/>
            <a:ea typeface="+mn-ea"/>
            <a:cs typeface="Calibri"/>
          </a:endParaRPr>
        </a:p>
      </xdr:txBody>
    </xdr:sp>
    <xdr:clientData/>
  </xdr:twoCellAnchor>
  <xdr:twoCellAnchor>
    <xdr:from>
      <xdr:col>1</xdr:col>
      <xdr:colOff>352425</xdr:colOff>
      <xdr:row>20</xdr:row>
      <xdr:rowOff>109539</xdr:rowOff>
    </xdr:from>
    <xdr:to>
      <xdr:col>1</xdr:col>
      <xdr:colOff>523875</xdr:colOff>
      <xdr:row>21</xdr:row>
      <xdr:rowOff>100014</xdr:rowOff>
    </xdr:to>
    <xdr:sp macro="" textlink="">
      <xdr:nvSpPr>
        <xdr:cNvPr id="14" name="Oval 13"/>
        <xdr:cNvSpPr/>
      </xdr:nvSpPr>
      <xdr:spPr>
        <a:xfrm>
          <a:off x="3248025" y="3919539"/>
          <a:ext cx="171450" cy="180975"/>
        </a:xfrm>
        <a:prstGeom prst="ellipse">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352425</xdr:colOff>
      <xdr:row>23</xdr:row>
      <xdr:rowOff>28576</xdr:rowOff>
    </xdr:from>
    <xdr:to>
      <xdr:col>1</xdr:col>
      <xdr:colOff>523875</xdr:colOff>
      <xdr:row>24</xdr:row>
      <xdr:rowOff>19051</xdr:rowOff>
    </xdr:to>
    <xdr:sp macro="" textlink="">
      <xdr:nvSpPr>
        <xdr:cNvPr id="15" name="Oval 14"/>
        <xdr:cNvSpPr/>
      </xdr:nvSpPr>
      <xdr:spPr>
        <a:xfrm>
          <a:off x="3248025" y="4410076"/>
          <a:ext cx="171450" cy="180975"/>
        </a:xfrm>
        <a:prstGeom prst="ellipse">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352425</xdr:colOff>
      <xdr:row>25</xdr:row>
      <xdr:rowOff>147639</xdr:rowOff>
    </xdr:from>
    <xdr:to>
      <xdr:col>1</xdr:col>
      <xdr:colOff>523875</xdr:colOff>
      <xdr:row>26</xdr:row>
      <xdr:rowOff>138114</xdr:rowOff>
    </xdr:to>
    <xdr:sp macro="" textlink="">
      <xdr:nvSpPr>
        <xdr:cNvPr id="16" name="Oval 15"/>
        <xdr:cNvSpPr/>
      </xdr:nvSpPr>
      <xdr:spPr>
        <a:xfrm>
          <a:off x="3248025" y="4910139"/>
          <a:ext cx="171450" cy="180975"/>
        </a:xfrm>
        <a:prstGeom prst="ellipse">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561975</xdr:colOff>
      <xdr:row>20</xdr:row>
      <xdr:rowOff>76199</xdr:rowOff>
    </xdr:from>
    <xdr:to>
      <xdr:col>2</xdr:col>
      <xdr:colOff>647700</xdr:colOff>
      <xdr:row>21</xdr:row>
      <xdr:rowOff>123824</xdr:rowOff>
    </xdr:to>
    <xdr:sp macro="" textlink="">
      <xdr:nvSpPr>
        <xdr:cNvPr id="17" name="TextBox 16"/>
        <xdr:cNvSpPr txBox="1"/>
      </xdr:nvSpPr>
      <xdr:spPr>
        <a:xfrm>
          <a:off x="3457575" y="3886199"/>
          <a:ext cx="1114425" cy="2381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lumMod val="50000"/>
                </a:schemeClr>
              </a:solidFill>
            </a:rPr>
            <a:t>Total Revenue</a:t>
          </a:r>
        </a:p>
      </xdr:txBody>
    </xdr:sp>
    <xdr:clientData/>
  </xdr:twoCellAnchor>
  <xdr:twoCellAnchor>
    <xdr:from>
      <xdr:col>1</xdr:col>
      <xdr:colOff>533400</xdr:colOff>
      <xdr:row>22</xdr:row>
      <xdr:rowOff>180974</xdr:rowOff>
    </xdr:from>
    <xdr:to>
      <xdr:col>2</xdr:col>
      <xdr:colOff>657225</xdr:colOff>
      <xdr:row>24</xdr:row>
      <xdr:rowOff>38099</xdr:rowOff>
    </xdr:to>
    <xdr:sp macro="" textlink="">
      <xdr:nvSpPr>
        <xdr:cNvPr id="18" name="TextBox 17"/>
        <xdr:cNvSpPr txBox="1"/>
      </xdr:nvSpPr>
      <xdr:spPr>
        <a:xfrm>
          <a:off x="3429000" y="4371974"/>
          <a:ext cx="1152525" cy="2381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lumMod val="50000"/>
                </a:schemeClr>
              </a:solidFill>
            </a:rPr>
            <a:t>Total Target</a:t>
          </a:r>
        </a:p>
      </xdr:txBody>
    </xdr:sp>
    <xdr:clientData/>
  </xdr:twoCellAnchor>
  <xdr:twoCellAnchor>
    <xdr:from>
      <xdr:col>1</xdr:col>
      <xdr:colOff>561976</xdr:colOff>
      <xdr:row>25</xdr:row>
      <xdr:rowOff>95249</xdr:rowOff>
    </xdr:from>
    <xdr:to>
      <xdr:col>2</xdr:col>
      <xdr:colOff>600076</xdr:colOff>
      <xdr:row>26</xdr:row>
      <xdr:rowOff>142874</xdr:rowOff>
    </xdr:to>
    <xdr:sp macro="" textlink="">
      <xdr:nvSpPr>
        <xdr:cNvPr id="19" name="TextBox 18"/>
        <xdr:cNvSpPr txBox="1"/>
      </xdr:nvSpPr>
      <xdr:spPr>
        <a:xfrm>
          <a:off x="3457576" y="4857749"/>
          <a:ext cx="1066800" cy="2381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bg1">
                  <a:lumMod val="50000"/>
                </a:schemeClr>
              </a:solidFill>
            </a:rPr>
            <a:t>Variance</a:t>
          </a:r>
          <a:r>
            <a:rPr lang="en-US" sz="1000" b="1" baseline="0">
              <a:solidFill>
                <a:schemeClr val="bg1">
                  <a:lumMod val="50000"/>
                </a:schemeClr>
              </a:solidFill>
            </a:rPr>
            <a:t> %</a:t>
          </a:r>
          <a:endParaRPr lang="en-US" sz="1000" b="1">
            <a:solidFill>
              <a:schemeClr val="bg1">
                <a:lumMod val="50000"/>
              </a:schemeClr>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ca" refreshedDate="45422.522479513886" createdVersion="6" refreshedVersion="6" minRefreshableVersion="3" recordCount="0" supportSubquery="1" supportAdvancedDrill="1">
  <cacheSource type="external" connectionId="8"/>
  <cacheFields count="2">
    <cacheField name="[customers_table].[Full Name].[Full Name]" caption="Full Name" numFmtId="0" hierarchy="2" level="1">
      <sharedItems count="5">
        <s v="John Brown"/>
        <s v="Judith Simmons"/>
        <s v="Kristine Barrett"/>
        <s v="Laura Gross"/>
        <s v="Paul Noble"/>
      </sharedItems>
    </cacheField>
    <cacheField name="[Measures].[Profit Margin]" caption="Profit Margin" numFmtId="0" hierarchy="42" level="32767"/>
  </cacheFields>
  <cacheHierarchies count="61">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2" memberValueDatatype="130" unbalanced="0">
      <fieldsUsage count="2">
        <fieldUsage x="-1"/>
        <fieldUsage x="0"/>
      </fieldsUsage>
    </cacheHierarchy>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Profit Margin %]" caption="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7">
    <measureGroup name="Calculations" caption="Calculations"/>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ca" refreshedDate="45423.542729745372" createdVersion="6" refreshedVersion="6" minRefreshableVersion="3" recordCount="0" supportSubquery="1" supportAdvancedDrill="1">
  <cacheSource type="external" connectionId="8"/>
  <cacheFields count="3">
    <cacheField name="[customers_table].[Gender].[Gender]" caption="Gender" numFmtId="0" hierarchy="3" level="1">
      <sharedItems count="2">
        <s v="Female"/>
        <s v="Male"/>
      </sharedItems>
    </cacheField>
    <cacheField name="[Measures].[Profit Margin]" caption="Profit Margin" numFmtId="0" hierarchy="42" level="32767"/>
    <cacheField name="[Date].[Month].[Month]" caption="Month" numFmtId="0" hierarchy="10" level="1">
      <sharedItems containsSemiMixedTypes="0" containsNonDate="0" containsString="0"/>
    </cacheField>
  </cacheFields>
  <cacheHierarchies count="61">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fieldsUsage count="2">
        <fieldUsage x="-1"/>
        <fieldUsage x="0"/>
      </fieldsUsage>
    </cacheHierarchy>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Profit Margin %]" caption="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7">
    <measureGroup name="Calculations" caption="Calculations"/>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ca" refreshedDate="45423.542732407404" createdVersion="6" refreshedVersion="6" minRefreshableVersion="3" recordCount="0" supportSubquery="1" supportAdvancedDrill="1">
  <cacheSource type="external" connectionId="8"/>
  <cacheFields count="3">
    <cacheField name="[customers_table].[Full Name].[Full Name]" caption="Full Name" numFmtId="0" hierarchy="2" level="1">
      <sharedItems count="5">
        <s v="Andrew Robinson"/>
        <s v="Brandon Johnson"/>
        <s v="Elizabeth Lynch"/>
        <s v="Jonathan Parsons"/>
        <s v="Nancy Logan"/>
      </sharedItems>
    </cacheField>
    <cacheField name="[Measures].[Profit Margin]" caption="Profit Margin" numFmtId="0" hierarchy="42" level="32767"/>
    <cacheField name="[Date].[Month].[Month]" caption="Month" numFmtId="0" hierarchy="10" level="1">
      <sharedItems containsSemiMixedTypes="0" containsNonDate="0" containsString="0"/>
    </cacheField>
  </cacheFields>
  <cacheHierarchies count="61">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2" memberValueDatatype="130" unbalanced="0">
      <fieldsUsage count="2">
        <fieldUsage x="-1"/>
        <fieldUsage x="0"/>
      </fieldsUsage>
    </cacheHierarchy>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Profit Margin %]" caption="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7">
    <measureGroup name="Calculations" caption="Calculations"/>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ca" refreshedDate="45423.542734027775" createdVersion="6" refreshedVersion="6" minRefreshableVersion="3" recordCount="0" supportSubquery="1" supportAdvancedDrill="1">
  <cacheSource type="external" connectionId="8"/>
  <cacheFields count="4">
    <cacheField name="[customers_table].[Full Name].[Full Name]" caption="Full Name" numFmtId="0" hierarchy="2" level="1">
      <sharedItems count="5">
        <s v="Bobby Abbott"/>
        <s v="Christine Hawkins"/>
        <s v="Jeffery Powell"/>
        <s v="Lisa West"/>
        <s v="Travis Ewing"/>
      </sharedItems>
    </cacheField>
    <cacheField name="[Measures].[Profit Margin]" caption="Profit Margin" numFmtId="0" hierarchy="42" level="32767"/>
    <cacheField name="[customers_table].[Location].[Location]" caption="Location" numFmtId="0" hierarchy="4" level="1">
      <sharedItems count="5">
        <s v="Indiana"/>
        <s v="New York"/>
        <s v="Pennsylvania"/>
        <s v="Texas"/>
        <s v="Washington"/>
      </sharedItems>
    </cacheField>
    <cacheField name="[Date].[Month].[Month]" caption="Month" numFmtId="0" hierarchy="10" level="1">
      <sharedItems containsSemiMixedTypes="0" containsNonDate="0" containsString="0"/>
    </cacheField>
  </cacheFields>
  <cacheHierarchies count="61">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2" memberValueDatatype="130" unbalanced="0">
      <fieldsUsage count="2">
        <fieldUsage x="-1"/>
        <fieldUsage x="0"/>
      </fieldsUsage>
    </cacheHierarchy>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2" memberValueDatatype="130" unbalanced="0">
      <fieldsUsage count="2">
        <fieldUsage x="-1"/>
        <fieldUsage x="2"/>
      </fieldsUsage>
    </cacheHierarchy>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Profit Margin %]" caption="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7">
    <measureGroup name="Calculations" caption="Calculations"/>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ca" refreshedDate="45423.54273587963" createdVersion="6" refreshedVersion="6" minRefreshableVersion="3" recordCount="0" supportSubquery="1" supportAdvancedDrill="1">
  <cacheSource type="external" connectionId="8"/>
  <cacheFields count="4">
    <cacheField name="[Measures].[# Products]" caption="# Products" numFmtId="0" hierarchy="47" level="32767"/>
    <cacheField name="[Measures].[Return Rate]" caption="Return Rate" numFmtId="0" hierarchy="52" level="32767"/>
    <cacheField name="[Measures].[Refund Rate]" caption="Refund Rate" numFmtId="0" hierarchy="46" level="32767"/>
    <cacheField name="[Date].[Month].[Month]" caption="Month" numFmtId="0" hierarchy="10" level="1">
      <sharedItems containsSemiMixedTypes="0" containsNonDate="0" containsString="0"/>
    </cacheField>
  </cacheFields>
  <cacheHierarchies count="61">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oneField="1">
      <fieldsUsage count="1">
        <fieldUsage x="2"/>
      </fieldsUsage>
    </cacheHierarchy>
    <cacheHierarchy uniqueName="[Measures].[# Products]" caption="# Products" measure="1" displayFolder="" measureGroup="Calculations" count="0" oneField="1">
      <fieldsUsage count="1">
        <fieldUsage x="0"/>
      </fieldsUsage>
    </cacheHierarchy>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oneField="1">
      <fieldsUsage count="1">
        <fieldUsage x="1"/>
      </fieldsUsage>
    </cacheHierarchy>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7">
    <measureGroup name="Calculations" caption="Calculations"/>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ca" refreshedDate="45423.542737847223" createdVersion="6" refreshedVersion="6" minRefreshableVersion="3" recordCount="0" supportSubquery="1" supportAdvancedDrill="1">
  <cacheSource type="external" connectionId="8"/>
  <cacheFields count="3">
    <cacheField name="[Measures].[Profit Margin]" caption="Profit Margin" numFmtId="0" hierarchy="42" level="32767"/>
    <cacheField name="[Date].[Day Name].[Day Name]" caption="Day Name" numFmtId="0" hierarchy="12" level="1">
      <sharedItems count="7">
        <s v="Sun"/>
        <s v="Mon"/>
        <s v="Tue"/>
        <s v="Wed"/>
        <s v="Thu"/>
        <s v="Fri"/>
        <s v="Sat"/>
      </sharedItems>
    </cacheField>
    <cacheField name="[Date].[Month].[Month]" caption="Month" numFmtId="0" hierarchy="10" level="1">
      <sharedItems containsSemiMixedTypes="0" containsNonDate="0" containsString="0"/>
    </cacheField>
  </cacheFields>
  <cacheHierarchies count="61">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2" memberValueDatatype="130" unbalanced="0">
      <fieldsUsage count="2">
        <fieldUsage x="-1"/>
        <fieldUsage x="1"/>
      </fieldsUsage>
    </cacheHierarchy>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0"/>
      </fieldsUsage>
    </cacheHierarchy>
    <cacheHierarchy uniqueName="[Measures].[Profit Margin %]" caption="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7">
    <measureGroup name="Calculations" caption="Calculations"/>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ca" refreshedDate="45423.542739814817" createdVersion="6" refreshedVersion="6" minRefreshableVersion="3" recordCount="0" supportSubquery="1" supportAdvancedDrill="1">
  <cacheSource type="external" connectionId="8"/>
  <cacheFields count="3">
    <cacheField name="[Measures].[Profit Margin]" caption="Profit Margin" numFmtId="0" hierarchy="42" level="32767"/>
    <cacheField name="[products_table].[Product Name].[Product Name]" caption="Product Name" numFmtId="0" hierarchy="27" level="1">
      <sharedItems count="5">
        <s v="Begin Brew"/>
        <s v="Common Splash"/>
        <s v="Method Mist"/>
        <s v="Return Mist"/>
        <s v="Two Breeze"/>
      </sharedItems>
    </cacheField>
    <cacheField name="[Date].[Month].[Month]" caption="Month" numFmtId="0" hierarchy="10" level="1">
      <sharedItems containsSemiMixedTypes="0" containsNonDate="0" containsString="0"/>
    </cacheField>
  </cacheFields>
  <cacheHierarchies count="61">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2" memberValueDatatype="130" unbalanced="0">
      <fieldsUsage count="2">
        <fieldUsage x="-1"/>
        <fieldUsage x="1"/>
      </fieldsUsage>
    </cacheHierarchy>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0"/>
      </fieldsUsage>
    </cacheHierarchy>
    <cacheHierarchy uniqueName="[Measures].[Profit Margin %]" caption="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7">
    <measureGroup name="Calculations" caption="Calculations"/>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ca" refreshedDate="45423.542741898149" createdVersion="5" refreshedVersion="6" minRefreshableVersion="3" recordCount="0" supportSubquery="1" supportAdvancedDrill="1">
  <cacheSource type="external" connectionId="8"/>
  <cacheFields count="3">
    <cacheField name="[Measures].[Total Revenue]" caption="Total Revenue" numFmtId="0" hierarchy="40" level="32767"/>
    <cacheField name="[Measures].[Total Target]" caption="Total Target" numFmtId="0" hierarchy="48" level="32767"/>
    <cacheField name="[Date].[Month].[Month]" caption="Month" numFmtId="0" hierarchy="10" level="1">
      <sharedItems containsSemiMixedTypes="0" containsNonDate="0" containsString="0"/>
    </cacheField>
  </cacheFields>
  <cacheHierarchies count="61">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Total Target]" caption="Total Target" measure="1" displayFolder="" measureGroup="Calculations" count="0" oneField="1">
      <fieldsUsage count="1">
        <fieldUsage x="1"/>
      </fieldsUsage>
    </cacheHierarchy>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7">
    <measureGroup name="Calculations" caption="Calculations"/>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ca" refreshedDate="45423.542743287035" createdVersion="5" refreshedVersion="6" minRefreshableVersion="3" recordCount="0" supportSubquery="1" supportAdvancedDrill="1">
  <cacheSource type="external" connectionId="8"/>
  <cacheFields count="12">
    <cacheField name="[Measures].[Total Revenue]" caption="Total Revenue" numFmtId="0" hierarchy="40" level="32767"/>
    <cacheField name="[Measures].[COGS]" caption="COGS" numFmtId="0" hierarchy="41" level="32767"/>
    <cacheField name="[Measures].[Profit Margin]" caption="Profit Margin" numFmtId="0" hierarchy="42" level="32767"/>
    <cacheField name="[Measures].[Profit Margin %]" caption="Profit Margin %" numFmtId="0" hierarchy="43" level="32767"/>
    <cacheField name="[Measures].[# Transactions]" caption="# Transactions" numFmtId="0" hierarchy="44" level="32767"/>
    <cacheField name="[Measures].[Total Refund]" caption="Total Refund" numFmtId="0" hierarchy="45" level="32767"/>
    <cacheField name="[Measures].[Refund Rate]" caption="Refund Rate" numFmtId="0" hierarchy="46" level="32767"/>
    <cacheField name="[Measures].[# Products]" caption="# Products" numFmtId="0" hierarchy="47" level="32767"/>
    <cacheField name="[Measures].[Sum of Quantity Sold]" caption="Sum of Quantity Sold" numFmtId="0" hierarchy="35" level="32767"/>
    <cacheField name="[Measures].[Sum of Quantity Returned]" caption="Sum of Quantity Returned" numFmtId="0" hierarchy="36" level="32767"/>
    <cacheField name="[Measures].[Total Target]" caption="Total Target" numFmtId="0" hierarchy="48" level="32767"/>
    <cacheField name="[Date].[Month].[Month]" caption="Month" numFmtId="0" hierarchy="10" level="1">
      <sharedItems containsSemiMixedTypes="0" containsNonDate="0" containsString="0"/>
    </cacheField>
  </cacheFields>
  <cacheHierarchies count="61">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11"/>
      </fieldsUsage>
    </cacheHierarchy>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oneField="1">
      <fieldsUsage count="1">
        <fieldUsage x="8"/>
      </fieldsUsage>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oneField="1">
      <fieldsUsage count="1">
        <fieldUsage x="9"/>
      </fieldsUsage>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oneField="1">
      <fieldsUsage count="1">
        <fieldUsage x="1"/>
      </fieldsUsage>
    </cacheHierarchy>
    <cacheHierarchy uniqueName="[Measures].[Profit Margin]" caption="Profit Margin" measure="1" displayFolder="" measureGroup="Calculations" count="0" oneField="1">
      <fieldsUsage count="1">
        <fieldUsage x="2"/>
      </fieldsUsage>
    </cacheHierarchy>
    <cacheHierarchy uniqueName="[Measures].[Profit Margin %]" caption="Profit Margin %" measure="1" displayFolder="" measureGroup="Calculations" count="0" oneField="1">
      <fieldsUsage count="1">
        <fieldUsage x="3"/>
      </fieldsUsage>
    </cacheHierarchy>
    <cacheHierarchy uniqueName="[Measures].[# Transactions]" caption="# Transactions" measure="1" displayFolder="" measureGroup="Calculations" count="0" oneField="1">
      <fieldsUsage count="1">
        <fieldUsage x="4"/>
      </fieldsUsage>
    </cacheHierarchy>
    <cacheHierarchy uniqueName="[Measures].[Total Refund]" caption="Total Refund" measure="1" displayFolder="" measureGroup="Calculations" count="0" oneField="1">
      <fieldsUsage count="1">
        <fieldUsage x="5"/>
      </fieldsUsage>
    </cacheHierarchy>
    <cacheHierarchy uniqueName="[Measures].[Refund Rate]" caption="Refund Rate" measure="1" displayFolder="" measureGroup="Calculations" count="0" oneField="1">
      <fieldsUsage count="1">
        <fieldUsage x="6"/>
      </fieldsUsage>
    </cacheHierarchy>
    <cacheHierarchy uniqueName="[Measures].[# Products]" caption="# Products" measure="1" displayFolder="" measureGroup="Calculations" count="0" oneField="1">
      <fieldsUsage count="1">
        <fieldUsage x="7"/>
      </fieldsUsage>
    </cacheHierarchy>
    <cacheHierarchy uniqueName="[Measures].[Total Target]" caption="Total Target" measure="1" displayFolder="" measureGroup="Calculations" count="0" oneField="1">
      <fieldsUsage count="1">
        <fieldUsage x="10"/>
      </fieldsUsage>
    </cacheHierarchy>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7">
    <measureGroup name="Calculations" caption="Calculations"/>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ca" refreshedDate="45423.542744791666" createdVersion="5" refreshedVersion="6" minRefreshableVersion="3" recordCount="0" supportSubquery="1" supportAdvancedDrill="1">
  <cacheSource type="external" connectionId="8"/>
  <cacheFields count="2">
    <cacheField name="[Measures].[Total Revenue]" caption="Total Revenue" numFmtId="0" hierarchy="40" level="32767"/>
    <cacheField name="[Date].[Month].[Month]" caption="Month" numFmtId="0" hierarchy="10" level="1">
      <sharedItems count="1">
        <s v="Sep"/>
      </sharedItems>
    </cacheField>
  </cacheFields>
  <cacheHierarchies count="61">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1"/>
      </fieldsUsage>
    </cacheHierarchy>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7">
    <measureGroup name="Calculations" caption="Calculations"/>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ca" refreshedDate="45423.542746064813" createdVersion="5" refreshedVersion="6" minRefreshableVersion="3" recordCount="0" supportSubquery="1" supportAdvancedDrill="1">
  <cacheSource type="external" connectionId="8"/>
  <cacheFields count="4">
    <cacheField name="[Measures].[Total Revenue]" caption="Total Revenue" numFmtId="0" hierarchy="40" level="32767"/>
    <cacheField name="[Measures].[Total Target]" caption="Total Target" numFmtId="0" hierarchy="48" level="32767"/>
    <cacheField name="[sales_persons_table].[Store Name].[Store Name]" caption="Store Name" numFmtId="0" hierarchy="33" level="1">
      <sharedItems count="10">
        <s v="Barron-Fleming"/>
        <s v="Berg-Trujillo"/>
        <s v="Lee-Myers"/>
        <s v="Lopez"/>
        <s v="Martinez"/>
        <s v="Miller"/>
        <s v="Myers-Lopez"/>
        <s v="Novak PLC"/>
        <s v="Thomas"/>
        <s v="Valdez"/>
      </sharedItems>
    </cacheField>
    <cacheField name="[Date].[Month].[Month]" caption="Month" numFmtId="0" hierarchy="10" level="1">
      <sharedItems containsSemiMixedTypes="0" containsNonDate="0" containsString="0"/>
    </cacheField>
  </cacheFields>
  <cacheHierarchies count="61">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2"/>
      </fieldsUsage>
    </cacheHierarchy>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Total Target]" caption="Total Target" measure="1" displayFolder="" measureGroup="Calculations" count="0" oneField="1">
      <fieldsUsage count="1">
        <fieldUsage x="1"/>
      </fieldsUsage>
    </cacheHierarchy>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7">
    <measureGroup name="Calculations" caption="Calculations"/>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ca" refreshedDate="45422.522488773146" createdVersion="6" refreshedVersion="6" minRefreshableVersion="3" recordCount="0" supportSubquery="1" supportAdvancedDrill="1">
  <cacheSource type="external" connectionId="8"/>
  <cacheFields count="3">
    <cacheField name="[customers_table].[Full Name].[Full Name]" caption="Full Name" numFmtId="0" hierarchy="2" level="1">
      <sharedItems count="5">
        <s v="Bobby Abbott"/>
        <s v="Christine Hawkins"/>
        <s v="Jeffery Powell"/>
        <s v="Lisa West"/>
        <s v="Travis Ewing"/>
      </sharedItems>
    </cacheField>
    <cacheField name="[Measures].[Profit Margin]" caption="Profit Margin" numFmtId="0" hierarchy="42" level="32767"/>
    <cacheField name="[customers_table].[Location].[Location]" caption="Location" numFmtId="0" hierarchy="4" level="1">
      <sharedItems count="5">
        <s v="California"/>
        <s v="Michigan"/>
        <s v="Missouri"/>
        <s v="Virginia"/>
        <s v="Washington"/>
      </sharedItems>
    </cacheField>
  </cacheFields>
  <cacheHierarchies count="61">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2" memberValueDatatype="130" unbalanced="0">
      <fieldsUsage count="2">
        <fieldUsage x="-1"/>
        <fieldUsage x="0"/>
      </fieldsUsage>
    </cacheHierarchy>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2" memberValueDatatype="130" unbalanced="0">
      <fieldsUsage count="2">
        <fieldUsage x="-1"/>
        <fieldUsage x="2"/>
      </fieldsUsage>
    </cacheHierarchy>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Profit Margin %]" caption="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7">
    <measureGroup name="Calculations" caption="Calculations"/>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saveData="0" refreshedBy="ca" refreshedDate="45423.543064930556" createdVersion="6" refreshedVersion="6" minRefreshableVersion="3" recordCount="0" supportSubquery="1" supportAdvancedDrill="1">
  <cacheSource type="external" connectionId="8"/>
  <cacheFields count="4">
    <cacheField name="[Date].[Month].[Month]" caption="Month" numFmtId="0" hierarchy="10" level="1">
      <sharedItems count="12">
        <s v="Jan"/>
        <s v="Feb"/>
        <s v="Mar"/>
        <s v="Apr"/>
        <s v="May"/>
        <s v="Jun"/>
        <s v="Jul"/>
        <s v="Aug"/>
        <s v="Sep"/>
        <s v="Oct"/>
        <s v="Nov"/>
        <s v="Dec"/>
      </sharedItems>
    </cacheField>
    <cacheField name="[Measures].[Total Revenue]" caption="Total Revenue" numFmtId="0" hierarchy="40" level="32767"/>
    <cacheField name="[Measures].[Total Target]" caption="Total Target" numFmtId="0" hierarchy="48" level="32767"/>
    <cacheField name="[sales_persons_table].[Store Name].[Store Name]" caption="Store Name" numFmtId="0" hierarchy="33" level="1">
      <sharedItems containsSemiMixedTypes="0" containsNonDate="0" containsString="0"/>
    </cacheField>
  </cacheFields>
  <cacheHierarchies count="61">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0"/>
      </fieldsUsage>
    </cacheHierarchy>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3"/>
      </fieldsUsage>
    </cacheHierarchy>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oneField="1">
      <fieldsUsage count="1">
        <fieldUsage x="1"/>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Total Target]" caption="Total Target" measure="1" displayFolder="" measureGroup="Calculations" count="0" oneField="1">
      <fieldsUsage count="1">
        <fieldUsage x="2"/>
      </fieldsUsage>
    </cacheHierarchy>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7">
    <measureGroup name="Calculations" caption="Calculations"/>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saveData="0" refreshedBy="ca" refreshedDate="45423.543066319442" createdVersion="6" refreshedVersion="6" minRefreshableVersion="3" recordCount="0" supportSubquery="1" supportAdvancedDrill="1">
  <cacheSource type="external" connectionId="8"/>
  <cacheFields count="3">
    <cacheField name="[Measures].[Total Revenue]" caption="Total Revenue" numFmtId="0" hierarchy="40" level="32767"/>
    <cacheField name="[Measures].[Total Target]" caption="Total Target" numFmtId="0" hierarchy="48" level="32767"/>
    <cacheField name="[sales_persons_table].[Store Name].[Store Name]" caption="Store Name" numFmtId="0" hierarchy="33" level="1">
      <sharedItems containsSemiMixedTypes="0" containsNonDate="0" containsString="0"/>
    </cacheField>
  </cacheFields>
  <cacheHierarchies count="61">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2"/>
      </fieldsUsage>
    </cacheHierarchy>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Total Target]" caption="Total Target" measure="1" displayFolder="" measureGroup="Calculations" count="0" oneField="1">
      <fieldsUsage count="1">
        <fieldUsage x="1"/>
      </fieldsUsage>
    </cacheHierarchy>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7">
    <measureGroup name="Calculations" caption="Calculations"/>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saveData="0" refreshedBy="ca" refreshedDate="45423.543067708335" createdVersion="6" refreshedVersion="6" minRefreshableVersion="3" recordCount="0" supportSubquery="1" supportAdvancedDrill="1">
  <cacheSource type="external" connectionId="8"/>
  <cacheFields count="4">
    <cacheField name="[Measures].[Total Revenue]" caption="Total Revenue" numFmtId="0" hierarchy="40" level="32767"/>
    <cacheField name="[Date].[WeekType].[WeekType]" caption="WeekType" numFmtId="0" hierarchy="14" level="1">
      <sharedItems count="2">
        <s v="Weekday"/>
        <s v="Weekend"/>
      </sharedItems>
    </cacheField>
    <cacheField name="[sales_persons_table].[Store Name].[Store Name]" caption="Store Name" numFmtId="0" hierarchy="33" level="1">
      <sharedItems containsSemiMixedTypes="0" containsNonDate="0" containsString="0"/>
    </cacheField>
    <cacheField name="Dummy0" numFmtId="0" hierarchy="61" level="32767">
      <extLst>
        <ext xmlns:x14="http://schemas.microsoft.com/office/spreadsheetml/2009/9/main" uri="{63CAB8AC-B538-458d-9737-405883B0398D}">
          <x14:cacheField ignore="1"/>
        </ext>
      </extLst>
    </cacheField>
  </cacheFields>
  <cacheHierarchies count="62">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2" memberValueDatatype="130" unbalanced="0">
      <fieldsUsage count="2">
        <fieldUsage x="-1"/>
        <fieldUsage x="1"/>
      </fieldsUsage>
    </cacheHierarchy>
    <cacheHierarchy uniqueName="[Date].[Quarter]" caption="Quarter" attribute="1" defaultMemberUniqueName="[Date].[Quarter].[All]" allUniqueName="[Date].[Quarter].[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2"/>
      </fieldsUsage>
    </cacheHierarchy>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Dummy0" caption="Measures" measure="1" count="0">
      <extLst>
        <ext xmlns:x14="http://schemas.microsoft.com/office/spreadsheetml/2009/9/main" uri="{8CF416AD-EC4C-4aba-99F5-12A058AE0983}">
          <x14:cacheHierarchy ignore="1"/>
        </ext>
      </extLst>
    </cacheHierarchy>
  </cacheHierarchies>
  <kpis count="0"/>
  <dimensions count="8">
    <dimension name="Calculations" uniqueName="[Calculations]" caption="Calculations"/>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7">
    <measureGroup name="Calculations" caption="Calculations"/>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saveData="0" refreshedBy="ca" refreshedDate="45423.543068981482" createdVersion="6" refreshedVersion="6" minRefreshableVersion="3" recordCount="0" supportSubquery="1" supportAdvancedDrill="1">
  <cacheSource type="external" connectionId="8"/>
  <cacheFields count="4">
    <cacheField name="[Measures].[Total Revenue]" caption="Total Revenue" numFmtId="0" hierarchy="40" level="32767"/>
    <cacheField name="[Date].[Quarter].[Quarter]" caption="Quarter" numFmtId="0" hierarchy="15" level="1">
      <sharedItems count="4">
        <s v="Q-1"/>
        <s v="Q-2"/>
        <s v="Q-3"/>
        <s v="Q-4"/>
      </sharedItems>
    </cacheField>
    <cacheField name="[sales_persons_table].[Store Name].[Store Name]" caption="Store Name" numFmtId="0" hierarchy="33" level="1">
      <sharedItems containsSemiMixedTypes="0" containsNonDate="0" containsString="0"/>
    </cacheField>
    <cacheField name="Dummy0" numFmtId="0" hierarchy="61" level="32767">
      <extLst>
        <ext xmlns:x14="http://schemas.microsoft.com/office/spreadsheetml/2009/9/main" uri="{63CAB8AC-B538-458d-9737-405883B0398D}">
          <x14:cacheField ignore="1"/>
        </ext>
      </extLst>
    </cacheField>
  </cacheFields>
  <cacheHierarchies count="62">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fieldsUsage count="2">
        <fieldUsage x="-1"/>
        <fieldUsage x="1"/>
      </fieldsUsage>
    </cacheHierarchy>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2"/>
      </fieldsUsage>
    </cacheHierarchy>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Dummy0" caption="Measures" measure="1" count="0">
      <extLst>
        <ext xmlns:x14="http://schemas.microsoft.com/office/spreadsheetml/2009/9/main" uri="{8CF416AD-EC4C-4aba-99F5-12A058AE0983}">
          <x14:cacheHierarchy ignore="1"/>
        </ext>
      </extLst>
    </cacheHierarchy>
  </cacheHierarchies>
  <kpis count="0"/>
  <dimensions count="8">
    <dimension name="Calculations" uniqueName="[Calculations]" caption="Calculations"/>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7">
    <measureGroup name="Calculations" caption="Calculations"/>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saveData="0" refreshedBy="ca" refreshedDate="45423.543070254629" createdVersion="6" refreshedVersion="6" minRefreshableVersion="3" recordCount="0" supportSubquery="1" supportAdvancedDrill="1">
  <cacheSource type="external" connectionId="8"/>
  <cacheFields count="4">
    <cacheField name="[Measures].[Total Revenue]" caption="Total Revenue" numFmtId="0" hierarchy="40" level="32767"/>
    <cacheField name="[Date].[Quarter].[Quarter]" caption="Quarter" numFmtId="0" hierarchy="15" level="1">
      <sharedItems count="4">
        <s v="Q-1"/>
        <s v="Q-2"/>
        <s v="Q-3"/>
        <s v="Q-4"/>
      </sharedItems>
    </cacheField>
    <cacheField name="[sales_persons_table].[Store Name].[Store Name]" caption="Store Name" numFmtId="0" hierarchy="33" level="1">
      <sharedItems containsSemiMixedTypes="0" containsNonDate="0" containsString="0"/>
    </cacheField>
    <cacheField name="Dummy0" numFmtId="0" hierarchy="61" level="32767">
      <extLst>
        <ext xmlns:x14="http://schemas.microsoft.com/office/spreadsheetml/2009/9/main" uri="{63CAB8AC-B538-458d-9737-405883B0398D}">
          <x14:cacheField ignore="1"/>
        </ext>
      </extLst>
    </cacheField>
  </cacheFields>
  <cacheHierarchies count="62">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fieldsUsage count="2">
        <fieldUsage x="-1"/>
        <fieldUsage x="1"/>
      </fieldsUsage>
    </cacheHierarchy>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2"/>
      </fieldsUsage>
    </cacheHierarchy>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Dummy0" caption="Measures" measure="1" count="0">
      <extLst>
        <ext xmlns:x14="http://schemas.microsoft.com/office/spreadsheetml/2009/9/main" uri="{8CF416AD-EC4C-4aba-99F5-12A058AE0983}">
          <x14:cacheHierarchy ignore="1"/>
        </ext>
      </extLst>
    </cacheHierarchy>
  </cacheHierarchies>
  <kpis count="0"/>
  <dimensions count="8">
    <dimension name="Calculations" uniqueName="[Calculations]" caption="Calculations"/>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7">
    <measureGroup name="Calculations" caption="Calculations"/>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saveData="0" refreshedBy="ca" refreshedDate="45423.543071527776" createdVersion="6" refreshedVersion="6" minRefreshableVersion="3" recordCount="0" supportSubquery="1" supportAdvancedDrill="1">
  <cacheSource type="external" connectionId="8"/>
  <cacheFields count="4">
    <cacheField name="[Measures].[Total Revenue]" caption="Total Revenue" numFmtId="0" hierarchy="40" level="32767"/>
    <cacheField name="[Date].[Day Name].[Day Name]" caption="Day Name" numFmtId="0" hierarchy="12" level="1">
      <sharedItems count="7">
        <s v="Sun"/>
        <s v="Mon"/>
        <s v="Tue"/>
        <s v="Wed"/>
        <s v="Thu"/>
        <s v="Fri"/>
        <s v="Sat"/>
      </sharedItems>
    </cacheField>
    <cacheField name="[sales_persons_table].[Store Name].[Store Name]" caption="Store Name" numFmtId="0" hierarchy="33" level="1">
      <sharedItems containsSemiMixedTypes="0" containsNonDate="0" containsString="0"/>
    </cacheField>
    <cacheField name="Dummy0" numFmtId="0" hierarchy="61" level="32767">
      <extLst>
        <ext xmlns:x14="http://schemas.microsoft.com/office/spreadsheetml/2009/9/main" uri="{63CAB8AC-B538-458d-9737-405883B0398D}">
          <x14:cacheField ignore="1"/>
        </ext>
      </extLst>
    </cacheField>
  </cacheFields>
  <cacheHierarchies count="62">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2" memberValueDatatype="130" unbalanced="0">
      <fieldsUsage count="2">
        <fieldUsage x="-1"/>
        <fieldUsage x="1"/>
      </fieldsUsage>
    </cacheHierarchy>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2"/>
      </fieldsUsage>
    </cacheHierarchy>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Dummy0" caption="Measures" measure="1" count="0">
      <extLst>
        <ext xmlns:x14="http://schemas.microsoft.com/office/spreadsheetml/2009/9/main" uri="{8CF416AD-EC4C-4aba-99F5-12A058AE0983}">
          <x14:cacheHierarchy ignore="1"/>
        </ext>
      </extLst>
    </cacheHierarchy>
  </cacheHierarchies>
  <kpis count="0"/>
  <dimensions count="8">
    <dimension name="Calculations" uniqueName="[Calculations]" caption="Calculations"/>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7">
    <measureGroup name="Calculations" caption="Calculations"/>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saveData="0" refreshedBy="ca" refreshedDate="45423.543073032408" createdVersion="6" refreshedVersion="6" minRefreshableVersion="3" recordCount="0" supportSubquery="1" supportAdvancedDrill="1">
  <cacheSource type="external" connectionId="8"/>
  <cacheFields count="2">
    <cacheField name="[Date].[Day Name].[Day Name]" caption="Day Name" numFmtId="0" hierarchy="12" level="1">
      <sharedItems count="7">
        <s v="Sun"/>
        <s v="Mon"/>
        <s v="Tue"/>
        <s v="Wed"/>
        <s v="Thu"/>
        <s v="Fri"/>
        <s v="Sat"/>
      </sharedItems>
    </cacheField>
    <cacheField name="[sales_persons_table].[Store Name].[Store Name]" caption="Store Name" numFmtId="0" hierarchy="33" level="1">
      <sharedItems containsSemiMixedTypes="0" containsNonDate="0" containsString="0"/>
    </cacheField>
  </cacheFields>
  <cacheHierarchies count="61">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2" memberValueDatatype="130" unbalanced="0">
      <fieldsUsage count="2">
        <fieldUsage x="-1"/>
        <fieldUsage x="0"/>
      </fieldsUsage>
    </cacheHierarchy>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1"/>
      </fieldsUsage>
    </cacheHierarchy>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7">
    <measureGroup name="Calculations" caption="Calculations"/>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saveData="0" refreshedBy="ca" refreshedDate="45422.522452083336" createdVersion="3" refreshedVersion="6"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0"/>
  <cacheHierarchies count="61">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8"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saveData="0" refreshedBy="ca" refreshedDate="45422.522461342596" createdVersion="3" refreshedVersion="6"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0"/>
  <cacheHierarchies count="61">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9"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ca" refreshedDate="45422.522490972224" createdVersion="6" refreshedVersion="6" minRefreshableVersion="3" recordCount="0" supportSubquery="1" supportAdvancedDrill="1">
  <cacheSource type="external" connectionId="8"/>
  <cacheFields count="8">
    <cacheField name="[customers_table].[Full Name].[Full Name]" caption="Full Name" numFmtId="0" hierarchy="2" level="1">
      <sharedItems count="5">
        <s v="Bobby Abbott"/>
        <s v="Christine Hawkins"/>
        <s v="Jeffery Powell"/>
        <s v="Lisa West"/>
        <s v="Travis Ewing"/>
      </sharedItems>
    </cacheField>
    <cacheField name="[customers_table].[Location].[Location]" caption="Location" numFmtId="0" hierarchy="4" level="1">
      <sharedItems count="5">
        <s v="Florida"/>
        <s v="Indiana"/>
        <s v="Maryland"/>
        <s v="New York"/>
        <s v="Wisconsin"/>
      </sharedItems>
    </cacheField>
    <cacheField name="[Measures].[# Customers]" caption="# Customers" numFmtId="0" hierarchy="49" level="32767"/>
    <cacheField name="[Measures].[# Locations]" caption="# Locations" numFmtId="0" hierarchy="50" level="32767"/>
    <cacheField name="[Measures].[COGS]" caption="COGS" numFmtId="0" hierarchy="41" level="32767"/>
    <cacheField name="[Measures].[Profit Margin]" caption="Profit Margin" numFmtId="0" hierarchy="42" level="32767"/>
    <cacheField name="[Measures].[Profit Margin %]" caption="Profit Margin %" numFmtId="0" hierarchy="43" level="32767"/>
    <cacheField name="[Measures].[Total Revenue]" caption="Total Revenue" numFmtId="0" hierarchy="40" level="32767"/>
  </cacheFields>
  <cacheHierarchies count="61">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2" memberValueDatatype="130" unbalanced="0">
      <fieldsUsage count="2">
        <fieldUsage x="-1"/>
        <fieldUsage x="0"/>
      </fieldsUsage>
    </cacheHierarchy>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2" memberValueDatatype="130" unbalanced="0">
      <fieldsUsage count="2">
        <fieldUsage x="-1"/>
        <fieldUsage x="1"/>
      </fieldsUsage>
    </cacheHierarchy>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oneField="1">
      <fieldsUsage count="1">
        <fieldUsage x="7"/>
      </fieldsUsage>
    </cacheHierarchy>
    <cacheHierarchy uniqueName="[Measures].[COGS]" caption="COGS" measure="1" displayFolder="" measureGroup="Calculations" count="0" oneField="1">
      <fieldsUsage count="1">
        <fieldUsage x="4"/>
      </fieldsUsage>
    </cacheHierarchy>
    <cacheHierarchy uniqueName="[Measures].[Profit Margin]" caption="Profit Margin" measure="1" displayFolder="" measureGroup="Calculations" count="0" oneField="1">
      <fieldsUsage count="1">
        <fieldUsage x="5"/>
      </fieldsUsage>
    </cacheHierarchy>
    <cacheHierarchy uniqueName="[Measures].[Profit Margin %]" caption="Profit Margin %" measure="1" displayFolder="" measureGroup="Calculations" count="0" oneField="1">
      <fieldsUsage count="1">
        <fieldUsage x="6"/>
      </fieldsUsage>
    </cacheHierarchy>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oneField="1">
      <fieldsUsage count="1">
        <fieldUsage x="2"/>
      </fieldsUsage>
    </cacheHierarchy>
    <cacheHierarchy uniqueName="[Measures].[# Locations]" caption="# Locations" measure="1" displayFolder="" measureGroup="Calculations" count="0" oneField="1">
      <fieldsUsage count="1">
        <fieldUsage x="3"/>
      </fieldsUsage>
    </cacheHierarchy>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7">
    <measureGroup name="Calculations" caption="Calculations"/>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ca" refreshedDate="45422.522493055556" createdVersion="6" refreshedVersion="6" minRefreshableVersion="3" recordCount="0" supportSubquery="1" supportAdvancedDrill="1">
  <cacheSource type="external" connectionId="8"/>
  <cacheFields count="2">
    <cacheField name="[Measures].[Profit Margin]" caption="Profit Margin" numFmtId="0" hierarchy="42" level="32767"/>
    <cacheField name="[Date].[Month].[Month]" caption="Month" numFmtId="0" hierarchy="10" level="1">
      <sharedItems count="12">
        <s v="Jan"/>
        <s v="Feb"/>
        <s v="Mar"/>
        <s v="Apr"/>
        <s v="May"/>
        <s v="Jun"/>
        <s v="Jul"/>
        <s v="Aug"/>
        <s v="Sep"/>
        <s v="Oct"/>
        <s v="Nov"/>
        <s v="Dec"/>
      </sharedItems>
    </cacheField>
  </cacheFields>
  <cacheHierarchies count="61">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1"/>
      </fieldsUsage>
    </cacheHierarchy>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0"/>
      </fieldsUsage>
    </cacheHierarchy>
    <cacheHierarchy uniqueName="[Measures].[Profit Margin %]" caption="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7">
    <measureGroup name="Calculations" caption="Calculations"/>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ca" refreshedDate="45422.522494791665" createdVersion="6" refreshedVersion="6" minRefreshableVersion="3" recordCount="0" supportSubquery="1" supportAdvancedDrill="1">
  <cacheSource type="external" connectionId="8"/>
  <cacheFields count="2">
    <cacheField name="[Measures].[Profit Margin]" caption="Profit Margin" numFmtId="0" hierarchy="42" level="32767"/>
    <cacheField name="[Date].[Month].[Month]" caption="Month" numFmtId="0" hierarchy="10" level="1">
      <sharedItems count="12">
        <s v="Jan"/>
        <s v="Feb"/>
        <s v="Mar"/>
        <s v="Apr"/>
        <s v="May"/>
        <s v="Jun"/>
        <s v="Jul"/>
        <s v="Aug"/>
        <s v="Sep"/>
        <s v="Oct"/>
        <s v="Nov"/>
        <s v="Dec"/>
      </sharedItems>
    </cacheField>
  </cacheFields>
  <cacheHierarchies count="61">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1"/>
      </fieldsUsage>
    </cacheHierarchy>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0"/>
      </fieldsUsage>
    </cacheHierarchy>
    <cacheHierarchy uniqueName="[Measures].[Profit Margin %]" caption="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7">
    <measureGroup name="Calculations" caption="Calculations"/>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ca" refreshedDate="45422.587958680553" createdVersion="6" refreshedVersion="6" minRefreshableVersion="3" recordCount="0" supportSubquery="1" supportAdvancedDrill="1">
  <cacheSource type="external" connectionId="8"/>
  <cacheFields count="3">
    <cacheField name="[Measures].[Profit Margin]" caption="Profit Margin" numFmtId="0" hierarchy="42" level="32767"/>
    <cacheField name="[products_table].[Product Name].[Product Name]" caption="Product Name" numFmtId="0" hierarchy="27" level="1">
      <sharedItems count="5">
        <s v="Attorney Mist"/>
        <s v="Begin Brew"/>
        <s v="Common Splash"/>
        <s v="Eight Brew"/>
        <s v="Onto Dew"/>
      </sharedItems>
    </cacheField>
    <cacheField name="[products_table].[Category].[Category]" caption="Category" numFmtId="0" hierarchy="28" level="1">
      <sharedItems count="8">
        <s v="Alcoholic Beverage"/>
        <s v="Coffee"/>
        <s v="Energy Drink"/>
        <s v="Juice"/>
        <s v="Soft Drink"/>
        <s v="Sports Drink"/>
        <s v="Tea"/>
        <s v="Water"/>
      </sharedItems>
    </cacheField>
  </cacheFields>
  <cacheHierarchies count="61">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2" memberValueDatatype="130" unbalanced="0">
      <fieldsUsage count="2">
        <fieldUsage x="-1"/>
        <fieldUsage x="1"/>
      </fieldsUsage>
    </cacheHierarchy>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2"/>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0"/>
      </fieldsUsage>
    </cacheHierarchy>
    <cacheHierarchy uniqueName="[Measures].[Profit Margin %]" caption="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7">
    <measureGroup name="Calculations" caption="Calculations"/>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ca" refreshedDate="45423.542722222221" createdVersion="6" refreshedVersion="6" minRefreshableVersion="3" recordCount="0" supportSubquery="1" supportAdvancedDrill="1">
  <cacheSource type="external" connectionId="8"/>
  <cacheFields count="1">
    <cacheField name="[Date].[Month].[Month]" caption="Month" numFmtId="0" hierarchy="10" level="1">
      <sharedItems containsSemiMixedTypes="0" containsNonDate="0" containsString="0"/>
    </cacheField>
  </cacheFields>
  <cacheHierarchies count="61">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0"/>
      </fieldsUsage>
    </cacheHierarchy>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7">
    <measureGroup name="Calculations" caption="Calculations"/>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ca" refreshedDate="45423.542725578707" createdVersion="6" refreshedVersion="6" minRefreshableVersion="3" recordCount="0" supportSubquery="1" supportAdvancedDrill="1">
  <cacheSource type="external" connectionId="8"/>
  <cacheFields count="4">
    <cacheField name="[Measures].[Profit Margin]" caption="Profit Margin" numFmtId="0" hierarchy="42" level="32767"/>
    <cacheField name="[products_table].[Product Name].[Product Name]" caption="Product Name" numFmtId="0" hierarchy="27" level="1">
      <sharedItems count="100">
        <s v="A Splash"/>
        <s v="Above Brew"/>
        <s v="Administration Fusion"/>
        <s v="Against Rush"/>
        <s v="Alone Splash"/>
        <s v="Animal Breeze"/>
        <s v="Any Brew"/>
        <s v="Assume Mist"/>
        <s v="Attorney Mist"/>
        <s v="Audience Fusion"/>
        <s v="Bar Drop"/>
        <s v="Begin Brew"/>
        <s v="Boy Splash"/>
        <s v="Build Brew"/>
        <s v="Center Mist"/>
        <s v="Century Dew"/>
        <s v="Choice Mist"/>
        <s v="Clearly Brew"/>
        <s v="Common Splash"/>
        <s v="Dark Brew"/>
        <s v="Debate Rush"/>
        <s v="Democrat Dew"/>
        <s v="Despite Rush"/>
        <s v="Develop Breeze"/>
        <s v="Different Dew"/>
        <s v="Discussion Fusion"/>
        <s v="Door Brew"/>
        <s v="Eight Brew"/>
        <s v="Few Dew"/>
        <s v="For Splash"/>
        <s v="Friend Splash"/>
        <s v="Ground Rush"/>
        <s v="Heavy Rush"/>
        <s v="Hold Brew"/>
        <s v="Hotel Splash"/>
        <s v="Husband Rush"/>
        <s v="Include Breeze"/>
        <s v="Indeed Splash"/>
        <s v="Into Mist"/>
        <s v="Its Dew"/>
        <s v="Itself Breeze"/>
        <s v="Large Fusion"/>
        <s v="Left Breeze"/>
        <s v="Leg Rush"/>
        <s v="Let Dew"/>
        <s v="Level Splash"/>
        <s v="Majority Rush"/>
        <s v="Management Drop"/>
        <s v="Method Mist"/>
        <s v="Might Mist"/>
        <s v="Mind Dew"/>
        <s v="Minute Rush"/>
        <s v="Name Rush"/>
        <s v="Nice Mist"/>
        <s v="Note Splash"/>
        <s v="Now Mist"/>
        <s v="Of Rush"/>
        <s v="Only Dew"/>
        <s v="Onto Dew"/>
        <s v="Over Splash"/>
        <s v="Own Drop"/>
        <s v="Pay Mist"/>
        <s v="Piece Dew"/>
        <s v="Pm Fusion"/>
        <s v="Point Splash"/>
        <s v="Poor Breeze"/>
        <s v="Property Mist"/>
        <s v="Protect Rush"/>
        <s v="Question Breeze"/>
        <s v="Race Rush"/>
        <s v="Recent Splash"/>
        <s v="Record Fusion"/>
        <s v="Relate Mist"/>
        <s v="Represent Drop"/>
        <s v="Result Splash"/>
        <s v="Return Mist"/>
        <s v="Reveal Rush"/>
        <s v="Sea Drop"/>
        <s v="Second Splash"/>
        <s v="Series Mist"/>
        <s v="Side Brew"/>
        <s v="Society Rush"/>
        <s v="Soldier Splash"/>
        <s v="Somebody Fusion"/>
        <s v="Sometimes Dew"/>
        <s v="Street Breeze"/>
        <s v="Threat Mist"/>
        <s v="Throughout Fusion"/>
        <s v="Too Splash"/>
        <s v="Training Mist"/>
        <s v="Tv Breeze"/>
        <s v="Two Breeze"/>
        <s v="Value Fusion"/>
        <s v="Wait Drop"/>
        <s v="Way Splash"/>
        <s v="West Rush"/>
        <s v="What Rush"/>
        <s v="Window Dew"/>
        <s v="Woman Dew"/>
        <s v="Would Rush"/>
      </sharedItems>
    </cacheField>
    <cacheField name="[Measures].[Sum of Quantity Sold]" caption="Sum of Quantity Sold" numFmtId="0" hierarchy="35" level="32767"/>
    <cacheField name="[Date].[Month].[Month]" caption="Month" numFmtId="0" hierarchy="10" level="1">
      <sharedItems containsSemiMixedTypes="0" containsNonDate="0" containsString="0"/>
    </cacheField>
  </cacheFields>
  <cacheHierarchies count="61">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2" memberValueDatatype="130" unbalanced="0">
      <fieldsUsage count="2">
        <fieldUsage x="-1"/>
        <fieldUsage x="1"/>
      </fieldsUsage>
    </cacheHierarchy>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oneField="1">
      <fieldsUsage count="1">
        <fieldUsage x="2"/>
      </fieldsUsage>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0"/>
      </fieldsUsage>
    </cacheHierarchy>
    <cacheHierarchy uniqueName="[Measures].[Profit Margin %]" caption="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7">
    <measureGroup name="Calculations" caption="Calculations"/>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ca" refreshedDate="45423.542727662039" createdVersion="6" refreshedVersion="6" minRefreshableVersion="3" recordCount="0" supportSubquery="1" supportAdvancedDrill="1">
  <cacheSource type="external" connectionId="8"/>
  <cacheFields count="3">
    <cacheField name="[Measures].[Profit Margin]" caption="Profit Margin" numFmtId="0" hierarchy="42" level="32767"/>
    <cacheField name="[customers_table].[Customer Age Grp].[Customer Age Grp]" caption="Customer Age Grp" numFmtId="0" hierarchy="6" level="1">
      <sharedItems count="5">
        <s v="0-20"/>
        <s v="21-30"/>
        <s v="31-40"/>
        <s v="41-50"/>
        <s v="51 +"/>
      </sharedItems>
    </cacheField>
    <cacheField name="[Date].[Month].[Month]" caption="Month" numFmtId="0" hierarchy="10" level="1">
      <sharedItems containsSemiMixedTypes="0" containsNonDate="0" containsString="0"/>
    </cacheField>
  </cacheFields>
  <cacheHierarchies count="61">
    <cacheHierarchy uniqueName="[Calculations].[Measures]" caption="Measures" attribute="1" defaultMemberUniqueName="[Calculations].[Measures].[All]" allUniqueName="[Calculations].[Measures].[All]" dimensionUniqueName="[Calculations]" displayFolder="" count="0" memberValueDatatype="130" unbalanced="0"/>
    <cacheHierarchy uniqueName="[customers_table].[Customer ID]" caption="Customer ID" attribute="1" defaultMemberUniqueName="[customers_table].[Customer ID].[All]" allUniqueName="[customers_table].[Customer ID].[All]" dimensionUniqueName="[customers_table]" displayFolder="" count="0" memberValueDatatype="20" unbalanced="0"/>
    <cacheHierarchy uniqueName="[customers_table].[Full Name]" caption="Full Name" attribute="1" defaultMemberUniqueName="[customers_table].[Full Name].[All]" allUniqueName="[customers_table].[Full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 Age]" caption="Customer Age" attribute="1" defaultMemberUniqueName="[customers_table].[Customer Age].[All]" allUniqueName="[customers_table].[Customer Age].[All]" dimensionUniqueName="[customers_table]" displayFolder="" count="0" memberValueDatatype="20" unbalanced="0"/>
    <cacheHierarchy uniqueName="[customers_table].[Customer Age Grp]" caption="Customer Age Grp" attribute="1" defaultMemberUniqueName="[customers_table].[Customer Age Grp].[All]" allUniqueName="[customers_table].[Customer Age Grp].[All]" dimensionUniqueName="[customers_table]" displayFolder="" count="2" memberValueDatatype="130" unbalanced="0">
      <fieldsUsage count="2">
        <fieldUsage x="-1"/>
        <fieldUsage x="1"/>
      </fieldsUsage>
    </cacheHierarchy>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Month No.]" caption="Month No." attribute="1" defaultMemberUniqueName="[Date].[Month No.].[All]" allUniqueName="[Date].[Month No.].[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Week No]" caption="Week No" attribute="1" defaultMemberUniqueName="[Date].[Week No].[All]" allUniqueName="[Date].[Week No].[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20" unbalanced="0"/>
    <cacheHierarchy uniqueName="[sales_persons_table].[Full Name]" caption="Full Name" attribute="1" defaultMemberUniqueName="[sales_persons_table].[Full Name].[All]" allUniqueName="[sales_persons_table].[Full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Sales Person Age]" caption="Sales Person Age" attribute="1" defaultMemberUniqueName="[sales_persons_table].[Sales Person Age].[All]" allUniqueName="[sales_persons_table].[Sales Person Age].[All]" dimensionUniqueName="[sales_persons_table]" displayFolder="" count="0" memberValueDatatype="20" unbalanced="0"/>
    <cacheHierarchy uniqueName="[Measures].[Sum of Quantity Sold]" caption="Sum of Quantity Sold" measure="1" displayFolder="" measureGroup="fact_table" count="0">
      <extLst>
        <ext xmlns:x15="http://schemas.microsoft.com/office/spreadsheetml/2010/11/main" uri="{B97F6D7D-B522-45F9-BDA1-12C45D357490}">
          <x15:cacheHierarchy aggregatedColumn="19"/>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21"/>
        </ext>
      </extLst>
    </cacheHierarchy>
    <cacheHierarchy uniqueName="[Measures].[Count of Customer Age Grp]" caption="Count of Customer Age Grp" measure="1" displayFolder="" measureGroup="customers_table" count="0">
      <extLst>
        <ext xmlns:x15="http://schemas.microsoft.com/office/spreadsheetml/2010/11/main" uri="{B97F6D7D-B522-45F9-BDA1-12C45D357490}">
          <x15:cacheHierarchy aggregatedColumn="6"/>
        </ext>
      </extLst>
    </cacheHierarchy>
    <cacheHierarchy uniqueName="[Measures].[Sum of Customer Age]" caption="Sum of Customer Age" measure="1" displayFolder="" measureGroup="customers_table" count="0">
      <extLst>
        <ext xmlns:x15="http://schemas.microsoft.com/office/spreadsheetml/2010/11/main" uri="{B97F6D7D-B522-45F9-BDA1-12C45D357490}">
          <x15:cacheHierarchy aggregatedColumn="5"/>
        </ext>
      </extLst>
    </cacheHierarchy>
    <cacheHierarchy uniqueName="[Measures].[Average of Customer Age]" caption="Average of Customer Age" measure="1" displayFolder="" measureGroup="customers_table" count="0">
      <extLst>
        <ext xmlns:x15="http://schemas.microsoft.com/office/spreadsheetml/2010/11/main" uri="{B97F6D7D-B522-45F9-BDA1-12C45D357490}">
          <x15:cacheHierarchy aggregatedColumn="5"/>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0"/>
      </fieldsUsage>
    </cacheHierarchy>
    <cacheHierarchy uniqueName="[Measures].[Profit Margin %]" caption="Profit Margin %" measure="1" displayFolder="" measureGroup="Calculations" count="0"/>
    <cacheHierarchy uniqueName="[Measures].[# Transactions]" caption="#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Products]" caption="# Products"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Customer Age]" caption="Average Customer Age" measure="1" displayFolder="" measureGroup="Calculations" count="0"/>
    <cacheHierarchy uniqueName="[Measures].[Return Rate]" caption="Return Rate" measure="1" displayFolder="" measureGroup="Calculation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7">
    <measureGroup name="Calculations" caption="Calculations"/>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name="CustomersName" cacheId="1059" applyNumberFormats="0" applyBorderFormats="0" applyFontFormats="0" applyPatternFormats="0" applyAlignmentFormats="0" applyWidthHeightFormats="1" dataCaption="Values" tag="2a3f8bf2-199a-4a7a-9d9b-03c0e6a33893" updatedVersion="6" minRefreshableVersion="3" useAutoFormatting="1" itemPrintTitles="1" createdVersion="6" indent="0" outline="1" outlineData="1" multipleFieldFilters="0" rowHeaderCaption="Full Name">
  <location ref="A18:B24" firstHeaderRow="1" firstDataRow="1" firstDataCol="1"/>
  <pivotFields count="3">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v="1"/>
    </i>
    <i>
      <x v="3"/>
    </i>
    <i>
      <x v="2"/>
    </i>
    <i>
      <x v="4"/>
    </i>
    <i>
      <x/>
    </i>
    <i t="grand">
      <x/>
    </i>
  </rowItems>
  <colItems count="1">
    <i/>
  </colItems>
  <dataFields count="1">
    <dataField fld="1" subtotal="count"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42">
      <autoFilter ref="A1">
        <filterColumn colId="0">
          <top10 top="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table]"/>
        <x15:activeTabTopLevelEntity name="[Calculations]"/>
      </x15:pivotTableUISettings>
    </ext>
  </extLst>
</pivotTableDefinition>
</file>

<file path=xl/pivotTables/pivotTable10.xml><?xml version="1.0" encoding="utf-8"?>
<pivotTableDefinition xmlns="http://schemas.openxmlformats.org/spreadsheetml/2006/main" name="ProductKPI" cacheId="1065" applyNumberFormats="0" applyBorderFormats="0" applyFontFormats="0" applyPatternFormats="0" applyAlignmentFormats="0" applyWidthHeightFormats="1" dataCaption="Values" tag="8e14d266-eb70-4c15-9e01-b6a29b36b671" updatedVersion="6" minRefreshableVersion="3" useAutoFormatting="1" itemPrintTitles="1" createdVersion="6" indent="0" outline="1" outlineData="1" multipleFieldFilters="0">
  <location ref="AO29:AQ30" firstHeaderRow="0" firstDataRow="1" firstDataCol="0"/>
  <pivotFields count="4">
    <pivotField dataField="1" showAll="0"/>
    <pivotField dataField="1" showAll="0"/>
    <pivotField dataField="1" showAll="0"/>
    <pivotField allDrilled="1" showAll="0" dataSourceSort="1"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pivotTableUISettings>
    </ext>
  </extLst>
</pivotTableDefinition>
</file>

<file path=xl/pivotTables/pivotTable11.xml><?xml version="1.0" encoding="utf-8"?>
<pivotTableDefinition xmlns="http://schemas.openxmlformats.org/spreadsheetml/2006/main" name="PivotTable9" cacheId="904" applyNumberFormats="0" applyBorderFormats="0" applyFontFormats="0" applyPatternFormats="0" applyAlignmentFormats="0" applyWidthHeightFormats="1" dataCaption="Values" tag="8f4e532e-7c94-476a-9f46-b42d01ad0a70" updatedVersion="6" minRefreshableVersion="3" useAutoFormatting="1" rowGrandTotals="0" colGrandTotals="0" itemPrintTitles="1" createdVersion="6" indent="0" outline="1" outlineData="1" multipleFieldFilters="0">
  <location ref="AB29:AC41" firstHeaderRow="1" firstDataRow="1" firstDataCol="1"/>
  <pivotFields count="2">
    <pivotField dataField="1" showAll="0"/>
    <pivotField axis="axisRow" allDrilled="1" showAll="0" dataSourceSort="1" defaultAttributeDrillState="1">
      <items count="13">
        <item x="0"/>
        <item x="1"/>
        <item x="2"/>
        <item x="3"/>
        <item x="4"/>
        <item x="5"/>
        <item x="6"/>
        <item x="7"/>
        <item x="8"/>
        <item x="9"/>
        <item x="10"/>
        <item x="11"/>
        <item t="default"/>
      </items>
    </pivotField>
  </pivotFields>
  <rowFields count="1">
    <field x="1"/>
  </rowFields>
  <rowItems count="12">
    <i>
      <x/>
    </i>
    <i>
      <x v="1"/>
    </i>
    <i>
      <x v="2"/>
    </i>
    <i>
      <x v="3"/>
    </i>
    <i>
      <x v="4"/>
    </i>
    <i>
      <x v="5"/>
    </i>
    <i>
      <x v="6"/>
    </i>
    <i>
      <x v="7"/>
    </i>
    <i>
      <x v="8"/>
    </i>
    <i>
      <x v="9"/>
    </i>
    <i>
      <x v="10"/>
    </i>
    <i>
      <x v="11"/>
    </i>
  </rowItems>
  <colItems count="1">
    <i/>
  </colItems>
  <dataFields count="1">
    <dataField fld="0" subtotal="count" baseField="0" baseItem="0" numFmtId="168"/>
  </dataFields>
  <formats count="10">
    <format dxfId="147">
      <pivotArea outline="0" collapsedLevelsAreSubtotals="1" fieldPosition="0"/>
    </format>
    <format dxfId="146">
      <pivotArea outline="0" collapsedLevelsAreSubtotals="1" fieldPosition="0"/>
    </format>
    <format dxfId="145">
      <pivotArea outline="0" collapsedLevelsAreSubtotals="1" fieldPosition="0"/>
    </format>
    <format dxfId="144">
      <pivotArea outline="0" collapsedLevelsAreSubtotals="1" fieldPosition="0"/>
    </format>
    <format dxfId="143">
      <pivotArea outline="0" collapsedLevelsAreSubtotals="1" fieldPosition="0"/>
    </format>
    <format dxfId="142">
      <pivotArea outline="0" collapsedLevelsAreSubtotals="1" fieldPosition="0"/>
    </format>
    <format dxfId="141">
      <pivotArea outline="0" collapsedLevelsAreSubtotals="1" fieldPosition="0"/>
    </format>
    <format dxfId="140">
      <pivotArea outline="0" fieldPosition="0">
        <references count="1">
          <reference field="4294967294" count="1">
            <x v="0"/>
          </reference>
        </references>
      </pivotArea>
    </format>
    <format dxfId="139">
      <pivotArea outline="0" fieldPosition="0">
        <references count="1">
          <reference field="4294967294" count="1">
            <x v="0"/>
          </reference>
        </references>
      </pivotArea>
    </format>
    <format dxfId="138">
      <pivotArea outline="0" collapsedLevelsAreSubtotals="1" fieldPosition="0"/>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customers_table]"/>
        <x15:activeTabTopLevelEntity name="[Date]"/>
      </x15:pivotTableUISettings>
    </ext>
  </extLst>
</pivotTableDefinition>
</file>

<file path=xl/pivotTables/pivotTable12.xml><?xml version="1.0" encoding="utf-8"?>
<pivotTableDefinition xmlns="http://schemas.openxmlformats.org/spreadsheetml/2006/main" name="PivotTable7" cacheId="903" applyNumberFormats="0" applyBorderFormats="0" applyFontFormats="0" applyPatternFormats="0" applyAlignmentFormats="0" applyWidthHeightFormats="1" dataCaption="Values" tag="6e4497d4-57c9-4e62-ab48-58b841817ed8" updatedVersion="6" minRefreshableVersion="3" useAutoFormatting="1" subtotalHiddenItems="1" rowGrandTotals="0" colGrandTotals="0" itemPrintTitles="1" createdVersion="6" indent="0" outline="1" outlineData="1" multipleFieldFilters="0">
  <location ref="X29:Y41" firstHeaderRow="1" firstDataRow="1" firstDataCol="1"/>
  <pivotFields count="2">
    <pivotField dataField="1" showAll="0"/>
    <pivotField axis="axisRow" allDrilled="1" showAll="0" dataSourceSort="1" defaultAttributeDrillState="1">
      <items count="13">
        <item x="0"/>
        <item x="1"/>
        <item x="2"/>
        <item x="3"/>
        <item x="4"/>
        <item x="5"/>
        <item x="6"/>
        <item x="7"/>
        <item x="8"/>
        <item x="9"/>
        <item x="10"/>
        <item x="11"/>
        <item t="default"/>
      </items>
    </pivotField>
  </pivotFields>
  <rowFields count="1">
    <field x="1"/>
  </rowFields>
  <rowItems count="12">
    <i>
      <x/>
    </i>
    <i>
      <x v="1"/>
    </i>
    <i>
      <x v="2"/>
    </i>
    <i>
      <x v="3"/>
    </i>
    <i>
      <x v="4"/>
    </i>
    <i>
      <x v="5"/>
    </i>
    <i>
      <x v="6"/>
    </i>
    <i>
      <x v="7"/>
    </i>
    <i>
      <x v="8"/>
    </i>
    <i>
      <x v="9"/>
    </i>
    <i>
      <x v="10"/>
    </i>
    <i>
      <x v="11"/>
    </i>
  </rowItems>
  <colItems count="1">
    <i/>
  </colItems>
  <dataFields count="1">
    <dataField fld="0" subtotal="count" showDataAs="percentDiff" baseField="1" baseItem="1048828" numFmtId="169"/>
  </dataFields>
  <formats count="16">
    <format dxfId="163">
      <pivotArea outline="0" collapsedLevelsAreSubtotals="1" fieldPosition="0"/>
    </format>
    <format dxfId="162">
      <pivotArea outline="0" collapsedLevelsAreSubtotals="1" fieldPosition="0"/>
    </format>
    <format dxfId="161">
      <pivotArea outline="0" collapsedLevelsAreSubtotals="1" fieldPosition="0"/>
    </format>
    <format dxfId="160">
      <pivotArea outline="0" collapsedLevelsAreSubtotals="1" fieldPosition="0"/>
    </format>
    <format dxfId="159">
      <pivotArea outline="0" collapsedLevelsAreSubtotals="1" fieldPosition="0"/>
    </format>
    <format dxfId="158">
      <pivotArea outline="0" collapsedLevelsAreSubtotals="1" fieldPosition="0"/>
    </format>
    <format dxfId="157">
      <pivotArea outline="0" collapsedLevelsAreSubtotals="1" fieldPosition="0"/>
    </format>
    <format dxfId="156">
      <pivotArea outline="0" fieldPosition="0">
        <references count="1">
          <reference field="4294967294" count="1">
            <x v="0"/>
          </reference>
        </references>
      </pivotArea>
    </format>
    <format dxfId="155">
      <pivotArea outline="0" fieldPosition="0">
        <references count="1">
          <reference field="4294967294" count="1">
            <x v="0"/>
          </reference>
        </references>
      </pivotArea>
    </format>
    <format dxfId="154">
      <pivotArea outline="0" collapsedLevelsAreSubtotals="1" fieldPosition="0"/>
    </format>
    <format dxfId="153">
      <pivotArea outline="0" collapsedLevelsAreSubtotals="1" fieldPosition="0"/>
    </format>
    <format dxfId="152">
      <pivotArea outline="0" collapsedLevelsAreSubtotals="1" fieldPosition="0"/>
    </format>
    <format dxfId="151">
      <pivotArea outline="0" collapsedLevelsAreSubtotals="1" fieldPosition="0"/>
    </format>
    <format dxfId="150">
      <pivotArea outline="0" collapsedLevelsAreSubtotals="1" fieldPosition="0"/>
    </format>
    <format dxfId="149">
      <pivotArea outline="0" fieldPosition="0">
        <references count="1">
          <reference field="4294967294" count="1">
            <x v="0"/>
          </reference>
        </references>
      </pivotArea>
    </format>
    <format dxfId="148">
      <pivotArea outline="0" collapsedLevelsAreSubtotals="1" fieldPosition="0"/>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customers_table]"/>
        <x15:activeTabTopLevelEntity name="[Date]"/>
      </x15:pivotTableUISettings>
    </ext>
  </extLst>
</pivotTableDefinition>
</file>

<file path=xl/pivotTables/pivotTable13.xml><?xml version="1.0" encoding="utf-8"?>
<pivotTableDefinition xmlns="http://schemas.openxmlformats.org/spreadsheetml/2006/main" name="Productweekdays" cacheId="1068" applyNumberFormats="0" applyBorderFormats="0" applyFontFormats="0" applyPatternFormats="0" applyAlignmentFormats="0" applyWidthHeightFormats="1" dataCaption="Values" tag="bf5e0a6f-318b-436f-bcec-0101be3f12c3" updatedVersion="6" minRefreshableVersion="3" useAutoFormatting="1" rowGrandTotals="0" colGrandTotals="0" itemPrintTitles="1" createdVersion="6" indent="0" outline="1" outlineData="1" multipleFieldFilters="0" chartFormat="3" rowHeaderCaption="Days">
  <location ref="AJ29:AK36" firstHeaderRow="1" firstDataRow="1" firstDataCol="1"/>
  <pivotFields count="3">
    <pivotField dataField="1" showAll="0"/>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1">
    <field x="1"/>
  </rowFields>
  <rowItems count="7">
    <i>
      <x/>
    </i>
    <i>
      <x v="1"/>
    </i>
    <i>
      <x v="2"/>
    </i>
    <i>
      <x v="3"/>
    </i>
    <i>
      <x v="4"/>
    </i>
    <i>
      <x v="5"/>
    </i>
    <i>
      <x v="6"/>
    </i>
  </rowItems>
  <colItems count="1">
    <i/>
  </colItems>
  <dataFields count="1">
    <dataField fld="0" subtotal="count" baseField="0" baseItem="0" numFmtId="168"/>
  </dataFields>
  <formats count="10">
    <format dxfId="173">
      <pivotArea outline="0" collapsedLevelsAreSubtotals="1" fieldPosition="0"/>
    </format>
    <format dxfId="172">
      <pivotArea outline="0" collapsedLevelsAreSubtotals="1" fieldPosition="0"/>
    </format>
    <format dxfId="171">
      <pivotArea outline="0" collapsedLevelsAreSubtotals="1" fieldPosition="0"/>
    </format>
    <format dxfId="170">
      <pivotArea outline="0" collapsedLevelsAreSubtotals="1" fieldPosition="0"/>
    </format>
    <format dxfId="169">
      <pivotArea outline="0" collapsedLevelsAreSubtotals="1" fieldPosition="0"/>
    </format>
    <format dxfId="168">
      <pivotArea outline="0" collapsedLevelsAreSubtotals="1" fieldPosition="0"/>
    </format>
    <format dxfId="167">
      <pivotArea outline="0" collapsedLevelsAreSubtotals="1" fieldPosition="0"/>
    </format>
    <format dxfId="166">
      <pivotArea outline="0" fieldPosition="0">
        <references count="1">
          <reference field="4294967294" count="1">
            <x v="0"/>
          </reference>
        </references>
      </pivotArea>
    </format>
    <format dxfId="165">
      <pivotArea outline="0" fieldPosition="0">
        <references count="1">
          <reference field="4294967294" count="1">
            <x v="0"/>
          </reference>
        </references>
      </pivotArea>
    </format>
    <format dxfId="164">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customers_table]"/>
        <x15:activeTabTopLevelEntity name="[Date]"/>
      </x15:pivotTableUISettings>
    </ext>
  </extLst>
</pivotTableDefinition>
</file>

<file path=xl/pivotTables/pivotTable14.xml><?xml version="1.0" encoding="utf-8"?>
<pivotTableDefinition xmlns="http://schemas.openxmlformats.org/spreadsheetml/2006/main" name="PivotTable3" cacheId="901" applyNumberFormats="0" applyBorderFormats="0" applyFontFormats="0" applyPatternFormats="0" applyAlignmentFormats="0" applyWidthHeightFormats="1" dataCaption="Values" tag="5175b2a7-214b-4e95-8f2a-8adb699aaebe" updatedVersion="6" minRefreshableVersion="3" useAutoFormatting="1" rowGrandTotals="0" colGrandTotals="0" itemPrintTitles="1" createdVersion="6" indent="0" outline="1" outlineData="1" multipleFieldFilters="0" rowHeaderCaption="Location">
  <location ref="E6:F11" firstHeaderRow="1" firstDataRow="1" firstDataCol="1"/>
  <pivotFields count="3">
    <pivotField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1">
    <field x="2"/>
  </rowFields>
  <rowItems count="5">
    <i>
      <x v="4"/>
    </i>
    <i>
      <x/>
    </i>
    <i>
      <x v="1"/>
    </i>
    <i>
      <x v="3"/>
    </i>
    <i>
      <x v="2"/>
    </i>
  </rowItems>
  <colItems count="1">
    <i/>
  </colItems>
  <dataFields count="1">
    <dataField fld="1" subtotal="count"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2">
      <autoFilter ref="A1">
        <filterColumn colId="0">
          <top10 top="0" val="5" filterVal="5"/>
        </filterColumn>
      </autoFilter>
    </filter>
    <filter fld="2" type="count" id="3" iMeasureHier="42">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table]"/>
        <x15:activeTabTopLevelEntity name="[Calculations]"/>
      </x15:pivotTableUISettings>
    </ext>
  </extLst>
</pivotTableDefinition>
</file>

<file path=xl/pivotTables/pivotTable15.xml><?xml version="1.0" encoding="utf-8"?>
<pivotTableDefinition xmlns="http://schemas.openxmlformats.org/spreadsheetml/2006/main" name="PivotTable1" cacheId="900" applyNumberFormats="0" applyBorderFormats="0" applyFontFormats="0" applyPatternFormats="0" applyAlignmentFormats="0" applyWidthHeightFormats="1" dataCaption="Values" tag="6ead9a8b-06e4-42b9-94ad-7c6ab98e3bb8" updatedVersion="6" minRefreshableVersion="3" useAutoFormatting="1" itemPrintTitles="1" createdVersion="6" indent="0" outline="1" outlineData="1" multipleFieldFilters="0" rowHeaderCaption="Full Name">
  <location ref="A6:B12" firstHeaderRow="1" firstDataRow="1" firstDataCol="1"/>
  <pivotFields count="2">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i>
    <i>
      <x v="4"/>
    </i>
    <i>
      <x v="3"/>
    </i>
    <i>
      <x v="1"/>
    </i>
    <i>
      <x v="2"/>
    </i>
    <i t="grand">
      <x/>
    </i>
  </rowItems>
  <colItems count="1">
    <i/>
  </colItems>
  <dataFields count="1">
    <dataField fld="1" subtotal="count"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ustomers_table]"/>
        <x15:activeTabTopLevelEntity name="[Calculations]"/>
      </x15:pivotTableUISettings>
    </ext>
  </extLst>
</pivotTableDefinition>
</file>

<file path=xl/pivotTables/pivotTable16.xml><?xml version="1.0" encoding="utf-8"?>
<pivotTableDefinition xmlns="http://schemas.openxmlformats.org/spreadsheetml/2006/main" name="PivotTable13" cacheId="117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T5:U6" firstHeaderRow="0" firstDataRow="1" firstDataCol="0"/>
  <pivotFields count="3">
    <pivotField dataField="1" showAll="0"/>
    <pivotField dataField="1" showAll="0"/>
    <pivotField allDrilled="1" showAll="0" dataSourceSort="1" defaultAttributeDrillState="1"/>
  </pivotFields>
  <rowItems count="1">
    <i/>
  </rowItems>
  <colFields count="1">
    <field x="-2"/>
  </colFields>
  <colItems count="2">
    <i>
      <x/>
    </i>
    <i i="1">
      <x v="1"/>
    </i>
  </colItems>
  <dataFields count="2">
    <dataField fld="0" subtotal="count" baseField="0" baseItem="0"/>
    <dataField fld="1" subtotal="count" baseField="0" baseItem="0"/>
  </dataFields>
  <formats count="12">
    <format dxfId="45">
      <pivotArea outline="0" collapsedLevelsAreSubtotals="1" fieldPosition="0"/>
    </format>
    <format dxfId="44">
      <pivotArea outline="0" collapsedLevelsAreSubtotals="1" fieldPosition="0"/>
    </format>
    <format dxfId="43">
      <pivotArea type="all" dataOnly="0" outline="0" fieldPosition="0"/>
    </format>
    <format dxfId="42">
      <pivotArea outline="0" collapsedLevelsAreSubtotals="1" fieldPosition="0"/>
    </format>
    <format dxfId="41">
      <pivotArea dataOnly="0" labelOnly="1" outline="0" fieldPosition="0">
        <references count="1">
          <reference field="4294967294" count="2">
            <x v="0"/>
            <x v="1"/>
          </reference>
        </references>
      </pivotArea>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 dxfId="35">
      <pivotArea outline="0" collapsedLevelsAreSubtotals="1" fieldPosition="0"/>
    </format>
    <format dxfId="3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alculations]"/>
        <x15:activeTabTopLevelEntity name="[sales_persons_table]"/>
      </x15:pivotTableUISettings>
    </ext>
  </extLst>
</pivotTableDefinition>
</file>

<file path=xl/pivotTables/pivotTable17.xml><?xml version="1.0" encoding="utf-8"?>
<pivotTableDefinition xmlns="http://schemas.openxmlformats.org/spreadsheetml/2006/main" name="PivotTable5" cacheId="1188" applyNumberFormats="0" applyBorderFormats="0" applyFontFormats="0" applyPatternFormats="0" applyAlignmentFormats="0" applyWidthHeightFormats="1" dataCaption="Values" tag="bae96022-7d9d-41e7-b228-3c99166aeb1e" updatedVersion="6" minRefreshableVersion="3" useAutoFormatting="1" subtotalHiddenItems="1" rowGrandTotals="0" colGrandTotals="0" itemPrintTitles="1" createdVersion="6" indent="0" outline="1" outlineData="1" multipleFieldFilters="0" chartFormat="1">
  <location ref="AH15:AH22" firstHeaderRow="1" firstDataRow="1" firstDataCol="1"/>
  <pivotFields count="2">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1">
    <field x="0"/>
  </rowFields>
  <rowItems count="7">
    <i>
      <x/>
    </i>
    <i>
      <x v="1"/>
    </i>
    <i>
      <x v="2"/>
    </i>
    <i>
      <x v="3"/>
    </i>
    <i>
      <x v="4"/>
    </i>
    <i>
      <x v="5"/>
    </i>
    <i>
      <x v="6"/>
    </i>
  </rowItems>
  <formats count="15">
    <format dxfId="60">
      <pivotArea outline="0" collapsedLevelsAreSubtotals="1" fieldPosition="0"/>
    </format>
    <format dxfId="59">
      <pivotArea outline="0" collapsedLevelsAreSubtotals="1" fieldPosition="0"/>
    </format>
    <format dxfId="58">
      <pivotArea type="all" dataOnly="0" outline="0"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 dxfId="54">
      <pivotArea outline="0" collapsedLevelsAreSubtotals="1" fieldPosition="0"/>
    </format>
    <format dxfId="53">
      <pivotArea outline="0" collapsedLevelsAreSubtotals="1" fieldPosition="0"/>
    </format>
    <format dxfId="52">
      <pivotArea outline="0" collapsedLevelsAreSubtotals="1" fieldPosition="0"/>
    </format>
    <format dxfId="51">
      <pivotArea outline="0" collapsedLevelsAreSubtotals="1" fieldPosition="0"/>
    </format>
    <format dxfId="50">
      <pivotArea field="0" type="button" dataOnly="0" labelOnly="1" outline="0" axis="axisRow" fieldPosition="0"/>
    </format>
    <format dxfId="49">
      <pivotArea field="0" type="button" dataOnly="0" labelOnly="1" outline="0" axis="axisRow" fieldPosition="0"/>
    </format>
    <format dxfId="48">
      <pivotArea field="0" type="button" dataOnly="0" labelOnly="1" outline="0" axis="axisRow" fieldPosition="0"/>
    </format>
    <format dxfId="47">
      <pivotArea field="0" type="button" dataOnly="0" labelOnly="1" outline="0" axis="axisRow" fieldPosition="0"/>
    </format>
    <format dxfId="46">
      <pivotArea field="0" type="button" dataOnly="0" labelOnly="1" outline="0" axis="axisRow" fieldPosition="0"/>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alculations]"/>
        <x15:activeTabTopLevelEntity name="[sales_persons_table]"/>
      </x15:pivotTableUISettings>
    </ext>
  </extLst>
</pivotTableDefinition>
</file>

<file path=xl/pivotTables/pivotTable18.xml><?xml version="1.0" encoding="utf-8"?>
<pivotTableDefinition xmlns="http://schemas.openxmlformats.org/spreadsheetml/2006/main" name="PivotTable2" cacheId="1179" applyNumberFormats="0" applyBorderFormats="0" applyFontFormats="0" applyPatternFormats="0" applyAlignmentFormats="0" applyWidthHeightFormats="1" dataCaption="Values" tag="bae96022-7d9d-41e7-b228-3c99166aeb1e" updatedVersion="6" minRefreshableVersion="3" useAutoFormatting="1" subtotalHiddenItems="1" rowGrandTotals="0" colGrandTotals="0" itemPrintTitles="1" createdVersion="6" indent="0" outline="1" outlineData="1" multipleFieldFilters="0" chartFormat="1">
  <location ref="AC5:AE9" firstHeaderRow="0" firstDataRow="1" firstDataCol="1"/>
  <pivotFields count="4">
    <pivotField dataField="1" showAll="0"/>
    <pivotField axis="axisRow" allDrilled="1" showAll="0" dataSourceSort="1" defaultAttributeDrillState="1">
      <items count="5">
        <item x="0"/>
        <item x="1"/>
        <item x="2"/>
        <item x="3"/>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4">
    <i>
      <x/>
    </i>
    <i>
      <x v="1"/>
    </i>
    <i>
      <x v="2"/>
    </i>
    <i>
      <x v="3"/>
    </i>
  </rowItems>
  <colFields count="1">
    <field x="-2"/>
  </colFields>
  <colItems count="2">
    <i>
      <x/>
    </i>
    <i i="1">
      <x v="1"/>
    </i>
  </colItems>
  <dataFields count="2">
    <dataField fld="0" subtotal="count" baseField="0" baseItem="0"/>
    <dataField name="Total Revenue2" fld="3" subtotal="count" showDataAs="percentDiff" baseField="1" baseItem="1048828" numFmtId="169">
      <extLst>
        <ext xmlns:x14="http://schemas.microsoft.com/office/spreadsheetml/2009/9/main" uri="{E15A36E0-9728-4e99-A89B-3F7291B0FE68}">
          <x14:dataField sourceField="0" uniqueName="[__Xl2].[Measures].[Total Revenue]"/>
        </ext>
      </extLst>
    </dataField>
  </dataFields>
  <formats count="13">
    <format dxfId="73">
      <pivotArea outline="0" collapsedLevelsAreSubtotals="1" fieldPosition="0"/>
    </format>
    <format dxfId="72">
      <pivotArea outline="0" collapsedLevelsAreSubtotals="1" fieldPosition="0"/>
    </format>
    <format dxfId="71">
      <pivotArea type="all" dataOnly="0" outline="0" fieldPosition="0"/>
    </format>
    <format dxfId="70">
      <pivotArea outline="0" collapsedLevelsAreSubtotals="1" fieldPosition="0"/>
    </format>
    <format dxfId="69">
      <pivotArea dataOnly="0" labelOnly="1" outline="0" fieldPosition="0">
        <references count="1">
          <reference field="4294967294" count="1">
            <x v="0"/>
          </reference>
        </references>
      </pivotArea>
    </format>
    <format dxfId="68">
      <pivotArea outline="0" collapsedLevelsAreSubtotals="1" fieldPosition="0"/>
    </format>
    <format dxfId="67">
      <pivotArea outline="0" collapsedLevelsAreSubtotals="1" fieldPosition="0"/>
    </format>
    <format dxfId="66">
      <pivotArea outline="0" collapsedLevelsAreSubtotals="1" fieldPosition="0"/>
    </format>
    <format dxfId="65">
      <pivotArea outline="0" collapsedLevelsAreSubtotals="1" fieldPosition="0"/>
    </format>
    <format dxfId="64">
      <pivotArea outline="0" collapsedLevelsAreSubtotals="1" fieldPosition="0"/>
    </format>
    <format dxfId="63">
      <pivotArea outline="0" collapsedLevelsAreSubtotals="1" fieldPosition="0"/>
    </format>
    <format dxfId="62">
      <pivotArea outline="0" fieldPosition="0">
        <references count="1">
          <reference field="4294967294" count="1">
            <x v="1"/>
          </reference>
        </references>
      </pivotArea>
    </format>
    <format dxfId="61">
      <pivotArea outline="0" collapsedLevelsAreSubtotals="1" fieldPosition="0">
        <references count="1">
          <reference field="4294967294" count="1" selected="0">
            <x v="1"/>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alculations]"/>
        <x15:activeTabTopLevelEntity name="[sales_persons_table]"/>
      </x15:pivotTableUISettings>
    </ext>
  </extLst>
</pivotTableDefinition>
</file>

<file path=xl/pivotTables/pivotTable19.xml><?xml version="1.0" encoding="utf-8"?>
<pivotTableDefinition xmlns="http://schemas.openxmlformats.org/spreadsheetml/2006/main" name="PivotTable14" cacheId="1176" applyNumberFormats="0" applyBorderFormats="0" applyFontFormats="0" applyPatternFormats="0" applyAlignmentFormats="0" applyWidthHeightFormats="1" dataCaption="Values" tag="bae96022-7d9d-41e7-b228-3c99166aeb1e" updatedVersion="6" minRefreshableVersion="3" useAutoFormatting="1" subtotalHiddenItems="1" rowGrandTotals="0" colGrandTotals="0" itemPrintTitles="1" createdVersion="6" indent="0" outline="1" outlineData="1" multipleFieldFilters="0" chartFormat="1">
  <location ref="Y5:AA7" firstHeaderRow="0" firstDataRow="1" firstDataCol="1"/>
  <pivotFields count="4">
    <pivotField dataField="1" showAll="0"/>
    <pivotField axis="axisRow" allDrilled="1" showAll="0" dataSourceSort="1" defaultAttributeDrillState="1">
      <items count="3">
        <item x="0"/>
        <item x="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2">
    <i>
      <x/>
    </i>
    <i>
      <x v="1"/>
    </i>
  </rowItems>
  <colFields count="1">
    <field x="-2"/>
  </colFields>
  <colItems count="2">
    <i>
      <x/>
    </i>
    <i i="1">
      <x v="1"/>
    </i>
  </colItems>
  <dataFields count="2">
    <dataField fld="0" subtotal="count" baseField="0" baseItem="0"/>
    <dataField name="Total Revenue2" fld="3" subtotal="count" showDataAs="percentOfTotal" baseField="0" baseItem="0" numFmtId="10">
      <extLst>
        <ext xmlns:x14="http://schemas.microsoft.com/office/spreadsheetml/2009/9/main" uri="{E15A36E0-9728-4e99-A89B-3F7291B0FE68}">
          <x14:dataField sourceField="0" uniqueName="[__Xl2].[Measures].[Total Revenue]"/>
        </ext>
      </extLst>
    </dataField>
  </dataFields>
  <formats count="12">
    <format dxfId="85">
      <pivotArea outline="0" collapsedLevelsAreSubtotals="1" fieldPosition="0"/>
    </format>
    <format dxfId="84">
      <pivotArea outline="0" collapsedLevelsAreSubtotals="1" fieldPosition="0"/>
    </format>
    <format dxfId="83">
      <pivotArea type="all" dataOnly="0" outline="0" fieldPosition="0"/>
    </format>
    <format dxfId="82">
      <pivotArea outline="0" collapsedLevelsAreSubtotals="1" fieldPosition="0"/>
    </format>
    <format dxfId="81">
      <pivotArea dataOnly="0" labelOnly="1" outline="0" fieldPosition="0">
        <references count="1">
          <reference field="4294967294" count="1">
            <x v="0"/>
          </reference>
        </references>
      </pivotArea>
    </format>
    <format dxfId="80">
      <pivotArea outline="0" collapsedLevelsAreSubtotals="1" fieldPosition="0"/>
    </format>
    <format dxfId="79">
      <pivotArea outline="0" collapsedLevelsAreSubtotals="1" fieldPosition="0"/>
    </format>
    <format dxfId="78">
      <pivotArea outline="0" collapsedLevelsAreSubtotals="1" fieldPosition="0"/>
    </format>
    <format dxfId="77">
      <pivotArea outline="0" collapsedLevelsAreSubtotals="1" fieldPosition="0"/>
    </format>
    <format dxfId="76">
      <pivotArea outline="0" collapsedLevelsAreSubtotals="1" fieldPosition="0"/>
    </format>
    <format dxfId="75">
      <pivotArea outline="0" collapsedLevelsAreSubtotals="1" fieldPosition="0"/>
    </format>
    <format dxfId="74">
      <pivotArea outline="0" fieldPosition="0">
        <references count="1">
          <reference field="4294967294" count="1">
            <x v="1"/>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alculations]"/>
        <x15:activeTabTopLevelEntity name="[sales_persons_table]"/>
      </x15:pivotTableUISettings>
    </ext>
  </extLst>
</pivotTableDefinition>
</file>

<file path=xl/pivotTables/pivotTable2.xml><?xml version="1.0" encoding="utf-8"?>
<pivotTableDefinition xmlns="http://schemas.openxmlformats.org/spreadsheetml/2006/main" name="CustomersGender" cacheId="1056" applyNumberFormats="0" applyBorderFormats="0" applyFontFormats="0" applyPatternFormats="0" applyAlignmentFormats="0" applyWidthHeightFormats="1" dataCaption="Values" tag="bbf74c76-84fe-431d-a772-bdbfe4f9d48c" updatedVersion="6" minRefreshableVersion="3" useAutoFormatting="1" rowGrandTotals="0" colGrandTotals="0" itemPrintTitles="1" createdVersion="6" indent="0" outline="1" outlineData="1" multipleFieldFilters="0">
  <location ref="S29:T31"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2">
    <i>
      <x/>
    </i>
    <i>
      <x v="1"/>
    </i>
  </rowItems>
  <colItems count="1">
    <i/>
  </colItems>
  <dataFields count="1">
    <dataField fld="1" subtotal="count" showDataAs="percentOfTotal" baseField="0" baseItem="0" numFmtId="10"/>
  </dataFields>
  <formats count="8">
    <format dxfId="130">
      <pivotArea outline="0" collapsedLevelsAreSubtotals="1" fieldPosition="0"/>
    </format>
    <format dxfId="129">
      <pivotArea outline="0" collapsedLevelsAreSubtotals="1" fieldPosition="0"/>
    </format>
    <format dxfId="128">
      <pivotArea outline="0" collapsedLevelsAreSubtotals="1" fieldPosition="0"/>
    </format>
    <format dxfId="127">
      <pivotArea outline="0" collapsedLevelsAreSubtotals="1" fieldPosition="0"/>
    </format>
    <format dxfId="126">
      <pivotArea outline="0" collapsedLevelsAreSubtotals="1" fieldPosition="0"/>
    </format>
    <format dxfId="125">
      <pivotArea outline="0" collapsedLevelsAreSubtotals="1" fieldPosition="0"/>
    </format>
    <format dxfId="124">
      <pivotArea outline="0" collapsedLevelsAreSubtotals="1" fieldPosition="0"/>
    </format>
    <format dxfId="123">
      <pivotArea outline="0" fieldPosition="0">
        <references count="1">
          <reference field="4294967294" count="1">
            <x v="0"/>
          </reference>
        </references>
      </pivotArea>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customers_table]"/>
      </x15:pivotTableUISettings>
    </ext>
  </extLst>
</pivotTableDefinition>
</file>

<file path=xl/pivotTables/pivotTable20.xml><?xml version="1.0" encoding="utf-8"?>
<pivotTableDefinition xmlns="http://schemas.openxmlformats.org/spreadsheetml/2006/main" name="PivotTable4" cacheId="1185" applyNumberFormats="0" applyBorderFormats="0" applyFontFormats="0" applyPatternFormats="0" applyAlignmentFormats="0" applyWidthHeightFormats="1" dataCaption="Values" tag="bae96022-7d9d-41e7-b228-3c99166aeb1e" updatedVersion="6" minRefreshableVersion="3" useAutoFormatting="1" subtotalHiddenItems="1" rowGrandTotals="0" colGrandTotals="0" itemPrintTitles="1" createdVersion="6" indent="0" outline="1" outlineData="1" multipleFieldFilters="0" chartFormat="7">
  <location ref="AH5:AJ12" firstHeaderRow="0" firstDataRow="1" firstDataCol="1"/>
  <pivotFields count="4">
    <pivotField dataField="1" showAll="0"/>
    <pivotField axis="axisRow" allDrilled="1" showAll="0" dataSourceSort="1" defaultAttributeDrillState="1">
      <items count="8">
        <item x="0"/>
        <item x="1"/>
        <item x="2"/>
        <item x="3"/>
        <item x="4"/>
        <item x="5"/>
        <item x="6"/>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7">
    <i>
      <x/>
    </i>
    <i>
      <x v="1"/>
    </i>
    <i>
      <x v="2"/>
    </i>
    <i>
      <x v="3"/>
    </i>
    <i>
      <x v="4"/>
    </i>
    <i>
      <x v="5"/>
    </i>
    <i>
      <x v="6"/>
    </i>
  </rowItems>
  <colFields count="1">
    <field x="-2"/>
  </colFields>
  <colItems count="2">
    <i>
      <x/>
    </i>
    <i i="1">
      <x v="1"/>
    </i>
  </colItems>
  <dataFields count="2">
    <dataField fld="0" subtotal="count" baseField="0" baseItem="0"/>
    <dataField name="Total Revenue2" fld="3" subtotal="count" showDataAs="percentOfTotal" baseField="0" baseItem="0" numFmtId="175">
      <extLst>
        <ext xmlns:x14="http://schemas.microsoft.com/office/spreadsheetml/2009/9/main" uri="{E15A36E0-9728-4e99-A89B-3F7291B0FE68}">
          <x14:dataField sourceField="0" uniqueName="[__Xl2].[Measures].[Total Revenue]"/>
        </ext>
      </extLst>
    </dataField>
  </dataFields>
  <formats count="15">
    <format dxfId="100">
      <pivotArea outline="0" collapsedLevelsAreSubtotals="1" fieldPosition="0"/>
    </format>
    <format dxfId="99">
      <pivotArea outline="0" collapsedLevelsAreSubtotals="1" fieldPosition="0"/>
    </format>
    <format dxfId="98">
      <pivotArea type="all" dataOnly="0" outline="0" fieldPosition="0"/>
    </format>
    <format dxfId="97">
      <pivotArea outline="0" collapsedLevelsAreSubtotals="1" fieldPosition="0"/>
    </format>
    <format dxfId="96">
      <pivotArea dataOnly="0" labelOnly="1" outline="0" fieldPosition="0">
        <references count="1">
          <reference field="4294967294" count="1">
            <x v="0"/>
          </reference>
        </references>
      </pivotArea>
    </format>
    <format dxfId="95">
      <pivotArea outline="0" collapsedLevelsAreSubtotals="1" fieldPosition="0"/>
    </format>
    <format dxfId="94">
      <pivotArea outline="0" collapsedLevelsAreSubtotals="1" fieldPosition="0"/>
    </format>
    <format dxfId="93">
      <pivotArea outline="0" collapsedLevelsAreSubtotals="1" fieldPosition="0"/>
    </format>
    <format dxfId="92">
      <pivotArea outline="0" collapsedLevelsAreSubtotals="1" fieldPosition="0"/>
    </format>
    <format dxfId="91">
      <pivotArea outline="0" collapsedLevelsAreSubtotals="1" fieldPosition="0"/>
    </format>
    <format dxfId="90">
      <pivotArea outline="0" collapsedLevelsAreSubtotals="1" fieldPosition="0"/>
    </format>
    <format dxfId="89">
      <pivotArea outline="0" fieldPosition="0">
        <references count="1">
          <reference field="4294967294" count="1">
            <x v="1"/>
          </reference>
        </references>
      </pivotArea>
    </format>
    <format dxfId="88">
      <pivotArea outline="0" collapsedLevelsAreSubtotals="1" fieldPosition="0">
        <references count="1">
          <reference field="4294967294" count="1" selected="0">
            <x v="1"/>
          </reference>
        </references>
      </pivotArea>
    </format>
    <format dxfId="87">
      <pivotArea outline="0" collapsedLevelsAreSubtotals="1" fieldPosition="0">
        <references count="1">
          <reference field="4294967294" count="1" selected="0">
            <x v="1"/>
          </reference>
        </references>
      </pivotArea>
    </format>
    <format dxfId="86">
      <pivotArea outline="0" collapsedLevelsAreSubtotals="1" fieldPosition="0">
        <references count="1">
          <reference field="4294967294" count="1" selected="0">
            <x v="1"/>
          </reference>
        </references>
      </pivotArea>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alculations]"/>
        <x15:activeTabTopLevelEntity name="[sales_persons_table]"/>
      </x15:pivotTableUISettings>
    </ext>
  </extLst>
</pivotTableDefinition>
</file>

<file path=xl/pivotTables/pivotTable21.xml><?xml version="1.0" encoding="utf-8"?>
<pivotTableDefinition xmlns="http://schemas.openxmlformats.org/spreadsheetml/2006/main" name="PivotTable3" cacheId="1182" applyNumberFormats="0" applyBorderFormats="0" applyFontFormats="0" applyPatternFormats="0" applyAlignmentFormats="0" applyWidthHeightFormats="1" dataCaption="Values" tag="bae96022-7d9d-41e7-b228-3c99166aeb1e" updatedVersion="6" minRefreshableVersion="3" useAutoFormatting="1" subtotalHiddenItems="1" rowGrandTotals="0" colGrandTotals="0" itemPrintTitles="1" createdVersion="6" indent="0" outline="1" outlineData="1" multipleFieldFilters="0" chartFormat="1" rowHeaderCaption="Quarter">
  <location ref="AC23:AE27" firstHeaderRow="0" firstDataRow="1" firstDataCol="1"/>
  <pivotFields count="4">
    <pivotField dataField="1" showAll="0"/>
    <pivotField axis="axisRow" allDrilled="1" showAll="0" dataSourceSort="1" defaultAttributeDrillState="1">
      <items count="5">
        <item x="0"/>
        <item x="1"/>
        <item x="2"/>
        <item x="3"/>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4">
    <i>
      <x/>
    </i>
    <i>
      <x v="1"/>
    </i>
    <i>
      <x v="2"/>
    </i>
    <i>
      <x v="3"/>
    </i>
  </rowItems>
  <colFields count="1">
    <field x="-2"/>
  </colFields>
  <colItems count="2">
    <i>
      <x/>
    </i>
    <i i="1">
      <x v="1"/>
    </i>
  </colItems>
  <dataFields count="2">
    <dataField fld="0" subtotal="count" baseField="0" baseItem="0"/>
    <dataField name="Total Revenue2" fld="3" subtotal="count" showDataAs="percentDiff" baseField="1" baseItem="1048828" numFmtId="169">
      <extLst>
        <ext xmlns:x14="http://schemas.microsoft.com/office/spreadsheetml/2009/9/main" uri="{E15A36E0-9728-4e99-A89B-3F7291B0FE68}">
          <x14:dataField sourceField="0" uniqueName="[__Xl2].[Measures].[Total Revenue]"/>
        </ext>
      </extLst>
    </dataField>
  </dataFields>
  <formats count="13">
    <format dxfId="113">
      <pivotArea outline="0" collapsedLevelsAreSubtotals="1" fieldPosition="0"/>
    </format>
    <format dxfId="112">
      <pivotArea outline="0" collapsedLevelsAreSubtotals="1" fieldPosition="0"/>
    </format>
    <format dxfId="111">
      <pivotArea type="all" dataOnly="0" outline="0" fieldPosition="0"/>
    </format>
    <format dxfId="110">
      <pivotArea outline="0" collapsedLevelsAreSubtotals="1" fieldPosition="0"/>
    </format>
    <format dxfId="109">
      <pivotArea dataOnly="0" labelOnly="1" outline="0" fieldPosition="0">
        <references count="1">
          <reference field="4294967294" count="1">
            <x v="0"/>
          </reference>
        </references>
      </pivotArea>
    </format>
    <format dxfId="108">
      <pivotArea outline="0" collapsedLevelsAreSubtotals="1" fieldPosition="0"/>
    </format>
    <format dxfId="107">
      <pivotArea outline="0" collapsedLevelsAreSubtotals="1" fieldPosition="0"/>
    </format>
    <format dxfId="106">
      <pivotArea outline="0" collapsedLevelsAreSubtotals="1" fieldPosition="0"/>
    </format>
    <format dxfId="105">
      <pivotArea outline="0" collapsedLevelsAreSubtotals="1" fieldPosition="0"/>
    </format>
    <format dxfId="104">
      <pivotArea outline="0" collapsedLevelsAreSubtotals="1" fieldPosition="0"/>
    </format>
    <format dxfId="103">
      <pivotArea outline="0" collapsedLevelsAreSubtotals="1" fieldPosition="0"/>
    </format>
    <format dxfId="102">
      <pivotArea outline="0" fieldPosition="0">
        <references count="1">
          <reference field="4294967294" count="1">
            <x v="1"/>
          </reference>
        </references>
      </pivotArea>
    </format>
    <format dxfId="101">
      <pivotArea outline="0" collapsedLevelsAreSubtotals="1" fieldPosition="0">
        <references count="1">
          <reference field="4294967294" count="1" selected="0">
            <x v="1"/>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alculations]"/>
        <x15:activeTabTopLevelEntity name="[sales_persons_table]"/>
      </x15:pivotTableUISettings>
    </ext>
  </extLst>
</pivotTableDefinition>
</file>

<file path=xl/pivotTables/pivotTable22.xml><?xml version="1.0" encoding="utf-8"?>
<pivotTableDefinition xmlns="http://schemas.openxmlformats.org/spreadsheetml/2006/main" name="PivotTable1" cacheId="117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C5:E17" firstHeaderRow="0" firstDataRow="1" firstDataCol="1"/>
  <pivotFields count="4">
    <pivotField axis="axisRow" allDrilled="1" showAll="0" dataSourceSort="1" defaultAttributeDrillState="1">
      <items count="13">
        <item x="0"/>
        <item x="1"/>
        <item x="2"/>
        <item x="3"/>
        <item x="4"/>
        <item x="5"/>
        <item x="6"/>
        <item x="7"/>
        <item x="8"/>
        <item x="9"/>
        <item x="10"/>
        <item x="11"/>
        <item t="default"/>
      </items>
    </pivotField>
    <pivotField dataField="1" showAll="0"/>
    <pivotField dataField="1" showAll="0"/>
    <pivotField allDrilled="1" showAll="0" dataSourceSort="1" defaultAttributeDrillState="1"/>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fld="1" subtotal="count" baseField="0" baseItem="0"/>
    <dataField fld="2" subtotal="count" baseField="0" baseItem="0"/>
  </dataFields>
  <formats count="9">
    <format dxfId="122">
      <pivotArea outline="0" collapsedLevelsAreSubtotals="1" fieldPosition="0"/>
    </format>
    <format dxfId="121">
      <pivotArea outline="0" collapsedLevelsAreSubtotals="1" fieldPosition="0"/>
    </format>
    <format dxfId="120">
      <pivotArea type="all" dataOnly="0" outline="0" fieldPosition="0"/>
    </format>
    <format dxfId="119">
      <pivotArea outline="0" collapsedLevelsAreSubtotals="1" fieldPosition="0"/>
    </format>
    <format dxfId="118">
      <pivotArea field="0" type="button" dataOnly="0" labelOnly="1" outline="0" axis="axisRow" fieldPosition="0"/>
    </format>
    <format dxfId="117">
      <pivotArea dataOnly="0" labelOnly="1" fieldPosition="0">
        <references count="1">
          <reference field="0" count="0"/>
        </references>
      </pivotArea>
    </format>
    <format dxfId="116">
      <pivotArea dataOnly="0" labelOnly="1" outline="0" fieldPosition="0">
        <references count="1">
          <reference field="4294967294" count="2">
            <x v="0"/>
            <x v="1"/>
          </reference>
        </references>
      </pivotArea>
    </format>
    <format dxfId="115">
      <pivotArea outline="0" collapsedLevelsAreSubtotals="1" fieldPosition="0"/>
    </format>
    <format dxfId="11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alculations]"/>
        <x15:activeTabTopLevelEntity name="[sales_persons_table]"/>
      </x15:pivotTableUISettings>
    </ext>
  </extLst>
</pivotTableDefinition>
</file>

<file path=xl/pivotTables/pivotTable23.xml><?xml version="1.0" encoding="utf-8"?>
<pivotTableDefinition xmlns="http://schemas.openxmlformats.org/spreadsheetml/2006/main" name="KPI" cacheId="1077" applyNumberFormats="0" applyBorderFormats="0" applyFontFormats="0" applyPatternFormats="0" applyAlignmentFormats="0" applyWidthHeightFormats="1" dataCaption="Values" tag="5ae8346d-8a85-4ded-94d4-9499464390fe" updatedVersion="6" minRefreshableVersion="3" useAutoFormatting="1" subtotalHiddenItems="1" itemPrintTitles="1" createdVersion="5" indent="0" outline="1" outlineData="1" multipleFieldFilters="0">
  <location ref="A3:K4" firstHeaderRow="0" firstDataRow="1" firstDataCol="0"/>
  <pivotFields count="12">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11">
    <i>
      <x/>
    </i>
    <i i="1">
      <x v="1"/>
    </i>
    <i i="2">
      <x v="2"/>
    </i>
    <i i="3">
      <x v="3"/>
    </i>
    <i i="4">
      <x v="4"/>
    </i>
    <i i="5">
      <x v="5"/>
    </i>
    <i i="6">
      <x v="6"/>
    </i>
    <i i="7">
      <x v="7"/>
    </i>
    <i i="8">
      <x v="8"/>
    </i>
    <i i="9">
      <x v="9"/>
    </i>
    <i i="10">
      <x v="10"/>
    </i>
  </colItems>
  <dataFields count="11">
    <dataField fld="0" subtotal="count" baseField="0" baseItem="0" numFmtId="168"/>
    <dataField fld="1" subtotal="count" baseField="0" baseItem="0" numFmtId="168"/>
    <dataField fld="2" subtotal="count" baseField="0" baseItem="0" numFmtId="168"/>
    <dataField fld="3" subtotal="count" baseField="0" baseItem="0"/>
    <dataField fld="4" subtotal="count" baseField="0" baseItem="0" numFmtId="166"/>
    <dataField fld="5" subtotal="count" baseField="0" baseItem="0" numFmtId="168"/>
    <dataField fld="6" subtotal="count" baseField="0" baseItem="0"/>
    <dataField fld="7" subtotal="count" baseField="0" baseItem="0"/>
    <dataField name=" Total Qty" fld="8" baseField="0" baseItem="0" numFmtId="166"/>
    <dataField name=" Qty Returned" fld="9" baseField="0" baseItem="0" numFmtId="166"/>
    <dataField fld="10" subtotal="count" baseField="0" baseItem="0" numFmtId="168"/>
  </dataFields>
  <formats count="16">
    <format dxfId="15">
      <pivotArea outline="0" collapsedLevelsAreSubtotals="1" fieldPosition="0">
        <references count="1">
          <reference field="4294967294" count="1" selected="0">
            <x v="4"/>
          </reference>
        </references>
      </pivotArea>
    </format>
    <format dxfId="14">
      <pivotArea outline="0" collapsedLevelsAreSubtotals="1" fieldPosition="0">
        <references count="1">
          <reference field="4294967294" count="1" selected="0">
            <x v="4"/>
          </reference>
        </references>
      </pivotArea>
    </format>
    <format dxfId="13">
      <pivotArea outline="0" collapsedLevelsAreSubtotals="1" fieldPosition="0">
        <references count="1">
          <reference field="4294967294" count="1" selected="0">
            <x v="4"/>
          </reference>
        </references>
      </pivotArea>
    </format>
    <format dxfId="12">
      <pivotArea outline="0" collapsedLevelsAreSubtotals="1" fieldPosition="0">
        <references count="1">
          <reference field="4294967294" count="1" selected="0">
            <x v="4"/>
          </reference>
        </references>
      </pivotArea>
    </format>
    <format dxfId="11">
      <pivotArea outline="0" collapsedLevelsAreSubtotals="1" fieldPosition="0">
        <references count="1">
          <reference field="4294967294" count="1" selected="0">
            <x v="5"/>
          </reference>
        </references>
      </pivotArea>
    </format>
    <format dxfId="10">
      <pivotArea outline="0" collapsedLevelsAreSubtotals="1" fieldPosition="0">
        <references count="1">
          <reference field="4294967294" count="1" selected="0">
            <x v="5"/>
          </reference>
        </references>
      </pivotArea>
    </format>
    <format dxfId="9">
      <pivotArea outline="0" collapsedLevelsAreSubtotals="1" fieldPosition="0">
        <references count="1">
          <reference field="4294967294" count="1" selected="0">
            <x v="8"/>
          </reference>
        </references>
      </pivotArea>
    </format>
    <format dxfId="8">
      <pivotArea outline="0" collapsedLevelsAreSubtotals="1" fieldPosition="0">
        <references count="1">
          <reference field="4294967294" count="1" selected="0">
            <x v="8"/>
          </reference>
        </references>
      </pivotArea>
    </format>
    <format dxfId="7">
      <pivotArea outline="0" collapsedLevelsAreSubtotals="1" fieldPosition="0">
        <references count="1">
          <reference field="4294967294" count="1" selected="0">
            <x v="8"/>
          </reference>
        </references>
      </pivotArea>
    </format>
    <format dxfId="6">
      <pivotArea outline="0" collapsedLevelsAreSubtotals="1" fieldPosition="0">
        <references count="1">
          <reference field="4294967294" count="1" selected="0">
            <x v="9"/>
          </reference>
        </references>
      </pivotArea>
    </format>
    <format dxfId="5">
      <pivotArea outline="0" collapsedLevelsAreSubtotals="1" fieldPosition="0">
        <references count="1">
          <reference field="4294967294" count="1" selected="0">
            <x v="10"/>
          </reference>
        </references>
      </pivotArea>
    </format>
    <format dxfId="4">
      <pivotArea outline="0" collapsedLevelsAreSubtotals="1" fieldPosition="0">
        <references count="1">
          <reference field="4294967294" count="1" selected="0">
            <x v="10"/>
          </reference>
        </references>
      </pivotArea>
    </format>
    <format dxfId="3">
      <pivotArea outline="0" collapsedLevelsAreSubtotals="1" fieldPosition="0">
        <references count="1">
          <reference field="4294967294" count="1" selected="0">
            <x v="0"/>
          </reference>
        </references>
      </pivotArea>
    </format>
    <format dxfId="2">
      <pivotArea outline="0" collapsedLevelsAreSubtotals="1" fieldPosition="0">
        <references count="1">
          <reference field="4294967294" count="2" selected="0">
            <x v="1"/>
            <x v="2"/>
          </reference>
        </references>
      </pivotArea>
    </format>
    <format dxfId="1">
      <pivotArea outline="0" collapsedLevelsAreSubtotals="1" fieldPosition="0">
        <references count="1">
          <reference field="4294967294" count="1" selected="0">
            <x v="5"/>
          </reference>
        </references>
      </pivotArea>
    </format>
    <format dxfId="0">
      <pivotArea outline="0" collapsedLevelsAreSubtotals="1" fieldPosition="0">
        <references count="1">
          <reference field="4294967294" count="1" selected="0">
            <x v="10"/>
          </reference>
        </references>
      </pivotArea>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 Total Qty"/>
    <pivotHierarchy dragToData="1" caption=" Qty Returne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fact_table]"/>
        <x15:activeTabTopLevelEntity name="[Date]"/>
      </x15:pivotTableUISettings>
    </ext>
  </extLst>
</pivotTableDefinition>
</file>

<file path=xl/pivotTables/pivotTable24.xml><?xml version="1.0" encoding="utf-8"?>
<pivotTableDefinition xmlns="http://schemas.openxmlformats.org/spreadsheetml/2006/main" name="Variance Table" cacheId="1074" applyNumberFormats="0" applyBorderFormats="0" applyFontFormats="0" applyPatternFormats="0" applyAlignmentFormats="0" applyWidthHeightFormats="1" dataCaption="Values" tag="5ae8346d-8a85-4ded-94d4-9499464390fe" updatedVersion="6" minRefreshableVersion="3" useAutoFormatting="1" subtotalHiddenItems="1" itemPrintTitles="1" createdVersion="5" indent="0" outline="1" outlineData="1" multipleFieldFilters="0">
  <location ref="A18:B19" firstHeaderRow="0" firstDataRow="1" firstDataCol="0"/>
  <pivotFields count="3">
    <pivotField dataField="1" showAll="0"/>
    <pivotField dataField="1" showAll="0"/>
    <pivotField allDrilled="1" showAll="0" dataSourceSort="1" defaultAttributeDrillState="1"/>
  </pivotFields>
  <rowItems count="1">
    <i/>
  </rowItems>
  <colFields count="1">
    <field x="-2"/>
  </colFields>
  <colItems count="2">
    <i>
      <x/>
    </i>
    <i i="1">
      <x v="1"/>
    </i>
  </colItems>
  <dataFields count="2">
    <dataField fld="0" subtotal="count" baseField="0" baseItem="0" numFmtId="170"/>
    <dataField fld="1" subtotal="count" baseField="0" baseItem="0" numFmtId="170"/>
  </dataFields>
  <formats count="8">
    <format dxfId="23">
      <pivotArea outline="0" collapsedLevelsAreSubtotals="1" fieldPosition="0">
        <references count="1">
          <reference field="4294967294" count="1" selected="0">
            <x v="1"/>
          </reference>
        </references>
      </pivotArea>
    </format>
    <format dxfId="22">
      <pivotArea outline="0" collapsedLevelsAreSubtotals="1" fieldPosition="0">
        <references count="1">
          <reference field="4294967294" count="1" selected="0">
            <x v="1"/>
          </reference>
        </references>
      </pivotArea>
    </format>
    <format dxfId="21">
      <pivotArea outline="0" collapsedLevelsAreSubtotals="1" fieldPosition="0">
        <references count="1">
          <reference field="4294967294" count="1" selected="0">
            <x v="0"/>
          </reference>
        </references>
      </pivotArea>
    </format>
    <format dxfId="20">
      <pivotArea outline="0" collapsedLevelsAreSubtotals="1" fieldPosition="0">
        <references count="1">
          <reference field="4294967294" count="1" selected="0">
            <x v="1"/>
          </reference>
        </references>
      </pivotArea>
    </format>
    <format dxfId="19">
      <pivotArea outline="0" collapsedLevelsAreSubtotals="1" fieldPosition="0">
        <references count="1">
          <reference field="4294967294" count="1" selected="0">
            <x v="0"/>
          </reference>
        </references>
      </pivotArea>
    </format>
    <format dxfId="18">
      <pivotArea outline="0" collapsedLevelsAreSubtotals="1" fieldPosition="0">
        <references count="1">
          <reference field="4294967294" count="1" selected="0">
            <x v="0"/>
          </reference>
        </references>
      </pivotArea>
    </format>
    <format dxfId="17">
      <pivotArea outline="0" collapsedLevelsAreSubtotals="1" fieldPosition="0">
        <references count="1">
          <reference field="4294967294" count="1" selected="0">
            <x v="0"/>
          </reference>
        </references>
      </pivotArea>
    </format>
    <format dxfId="16">
      <pivotArea outline="0" collapsedLevelsAreSubtotals="1" fieldPosition="0">
        <references count="1">
          <reference field="4294967294" count="1" selected="0">
            <x v="1"/>
          </reference>
        </references>
      </pivotArea>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Total Qty"/>
    <pivotHierarchy dragToData="1" caption=" Qty Returne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alculations]"/>
        <x15:activeTabTopLevelEntity name="[fact_table]"/>
        <x15:activeTabTopLevelEntity name="[Date]"/>
      </x15:pivotTableUISettings>
    </ext>
  </extLst>
</pivotTableDefinition>
</file>

<file path=xl/pivotTables/pivotTable25.xml><?xml version="1.0" encoding="utf-8"?>
<pivotTableDefinition xmlns="http://schemas.openxmlformats.org/spreadsheetml/2006/main" name="PivotTable1" cacheId="1080" applyNumberFormats="0" applyBorderFormats="0" applyFontFormats="0" applyPatternFormats="0" applyAlignmentFormats="0" applyWidthHeightFormats="1" dataCaption="Values" tag="c4321ea4-b468-4b07-a06a-11ae3a07b6fc" updatedVersion="6" minRefreshableVersion="3" useAutoFormatting="1" subtotalHiddenItems="1" itemPrintTitles="1" createdVersion="5" indent="0" compact="0" compactData="0" multipleFieldFilters="0" chartFormat="4">
  <location ref="Y3:Z5" firstHeaderRow="1" firstDataRow="1" firstDataCol="1"/>
  <pivotFields count="2">
    <pivotField dataField="1" compact="0" outline="0" showAll="0"/>
    <pivotField axis="axisRow" compact="0" allDrilled="1" outline="0" showAll="0" dataSourceSort="1" defaultAttributeDrillState="1">
      <items count="2">
        <item s="1" x="0"/>
        <item t="default"/>
      </items>
    </pivotField>
  </pivotFields>
  <rowFields count="1">
    <field x="1"/>
  </rowFields>
  <rowItems count="2">
    <i>
      <x/>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Total Qty"/>
    <pivotHierarchy dragToData="1" caption=" Qty Returne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fact_table]"/>
        <x15:activeTabTopLevelEntity name="[sales_persons_table]"/>
        <x15:activeTabTopLevelEntity name="[Date]"/>
      </x15:pivotTableUISettings>
    </ext>
  </extLst>
</pivotTableDefinition>
</file>

<file path=xl/pivotTables/pivotTable26.xml><?xml version="1.0" encoding="utf-8"?>
<pivotTableDefinition xmlns="http://schemas.openxmlformats.org/spreadsheetml/2006/main" name="Store_revenue_target" cacheId="1083" applyNumberFormats="0" applyBorderFormats="0" applyFontFormats="0" applyPatternFormats="0" applyAlignmentFormats="0" applyWidthHeightFormats="1" dataCaption="Values" tag="45fad2f8-7fbc-46d1-a9ce-cf39832a4953" updatedVersion="6" minRefreshableVersion="3" useAutoFormatting="1" subtotalHiddenItems="1" itemPrintTitles="1" createdVersion="5" indent="0" compact="0" compactData="0" multipleFieldFilters="0" chartFormat="11">
  <location ref="O3:Q14" firstHeaderRow="0" firstDataRow="1" firstDataCol="1"/>
  <pivotFields count="4">
    <pivotField dataField="1" compact="0" outline="0" showAll="0"/>
    <pivotField dataField="1" compact="0" outline="0" showAll="0"/>
    <pivotField axis="axisRow" compact="0" allDrilled="1" outline="0" showAll="0" dataSourceSort="1" defaultAttributeDrillState="1">
      <items count="11">
        <item x="0"/>
        <item x="1"/>
        <item x="2"/>
        <item x="3"/>
        <item x="4"/>
        <item x="5"/>
        <item x="6"/>
        <item x="7"/>
        <item x="8"/>
        <item x="9"/>
        <item t="default"/>
      </items>
    </pivotField>
    <pivotField compact="0" allDrilled="1" outline="0" showAll="0" dataSourceSort="1" defaultAttributeDrillState="1"/>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fld="0" subtotal="count" baseField="0" baseItem="0"/>
    <dataField fld="1" subtotal="count" baseField="0" baseItem="0" numFmtId="167"/>
  </dataFields>
  <formats count="2">
    <format dxfId="25">
      <pivotArea outline="0" collapsedLevelsAreSubtotals="1" fieldPosition="0">
        <references count="1">
          <reference field="4294967294" count="1" selected="0">
            <x v="1"/>
          </reference>
        </references>
      </pivotArea>
    </format>
    <format dxfId="24">
      <pivotArea outline="0" collapsedLevelsAreSubtotals="1" fieldPosition="0">
        <references count="1">
          <reference field="4294967294" count="1" selected="0">
            <x v="1"/>
          </reference>
        </references>
      </pivotArea>
    </format>
  </formats>
  <chartFormats count="6">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10"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1"/>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Total Qty"/>
    <pivotHierarchy dragToData="1" caption=" Qty Returne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fact_table]"/>
        <x15:activeTabTopLevelEntity name="[sales_persons_table]"/>
        <x15:activeTabTopLevelEntity name="[Date]"/>
      </x15:pivotTableUISettings>
    </ext>
  </extLst>
</pivotTableDefinition>
</file>

<file path=xl/pivotTables/pivotTable3.xml><?xml version="1.0" encoding="utf-8"?>
<pivotTableDefinition xmlns="http://schemas.openxmlformats.org/spreadsheetml/2006/main" name="PivotTable10" cacheId="10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G29:BI46" firstHeaderRow="1" firstDataRow="1" firstDataCol="0"/>
  <pivotFields count="1">
    <pivotField allDrilled="1" showAll="0" dataSourceSort="1" defaultAttributeDrillState="1">
      <items count="1">
        <item t="default"/>
      </items>
    </pivotField>
  </pivot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products_table]"/>
      </x15:pivotTableUISettings>
    </ext>
  </extLst>
</pivotTableDefinition>
</file>

<file path=xl/pivotTables/pivotTable4.xml><?xml version="1.0" encoding="utf-8"?>
<pivotTableDefinition xmlns="http://schemas.openxmlformats.org/spreadsheetml/2006/main" name="PivotTable8" cacheId="902" applyNumberFormats="0" applyBorderFormats="0" applyFontFormats="0" applyPatternFormats="0" applyAlignmentFormats="0" applyWidthHeightFormats="1" dataCaption="Values" tag="8bafd3d3-d521-48ea-ada0-e1dc3149891f" updatedVersion="6" minRefreshableVersion="3" useAutoFormatting="1" subtotalHiddenItems="1" rowGrandTotals="0" colGrandTotals="0" itemPrintTitles="1" createdVersion="6" indent="0" outline="1" outlineData="1" multipleFieldFilters="0" rowHeaderCaption="Location">
  <location ref="O18:T19" firstHeaderRow="0" firstDataRow="1" firstDataCol="0"/>
  <pivotFields count="8">
    <pivotField allDrilled="1" showAll="0" measureFilter="1" defaultAttributeDrillState="1">
      <items count="6">
        <item x="0"/>
        <item x="1"/>
        <item x="2"/>
        <item x="3"/>
        <item x="4"/>
        <item t="default"/>
      </items>
    </pivotField>
    <pivotField allDrilled="1" showAll="0" measureFilter="1" defaultAttributeDrillState="1">
      <items count="6">
        <item x="0"/>
        <item x="1"/>
        <item x="2"/>
        <item x="3"/>
        <item x="4"/>
        <item t="default"/>
      </items>
    </pivotField>
    <pivotField dataField="1" showAll="0"/>
    <pivotField dataField="1" showAll="0"/>
    <pivotField dataField="1" showAll="0"/>
    <pivotField dataField="1" showAll="0"/>
    <pivotField dataField="1" showAll="0"/>
    <pivotField dataField="1" showAll="0"/>
  </pivotFields>
  <rowItems count="1">
    <i/>
  </rowItems>
  <colFields count="1">
    <field x="-2"/>
  </colFields>
  <colItems count="6">
    <i>
      <x/>
    </i>
    <i i="1">
      <x v="1"/>
    </i>
    <i i="2">
      <x v="2"/>
    </i>
    <i i="3">
      <x v="3"/>
    </i>
    <i i="4">
      <x v="4"/>
    </i>
    <i i="5">
      <x v="5"/>
    </i>
  </colItems>
  <dataFields count="6">
    <dataField fld="2" subtotal="count" baseField="0" baseItem="0"/>
    <dataField fld="3" subtotal="count" baseField="0" baseItem="0"/>
    <dataField fld="4" subtotal="count" baseField="0" baseItem="0" numFmtId="168"/>
    <dataField fld="7" subtotal="count" baseField="0" baseItem="0" numFmtId="168"/>
    <dataField fld="5" subtotal="count" baseField="0" baseItem="0" numFmtId="168"/>
    <dataField fld="6" subtotal="count" baseField="0" baseItem="0"/>
  </dataFields>
  <formats count="1">
    <format dxfId="131">
      <pivotArea outline="0" collapsedLevelsAreSubtotals="1" fieldPosition="0">
        <references count="1">
          <reference field="4294967294" count="3" selected="0">
            <x v="2"/>
            <x v="3"/>
            <x v="4"/>
          </reference>
        </references>
      </pivotArea>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2">
      <autoFilter ref="A1">
        <filterColumn colId="0">
          <top10 top="0" val="5" filterVal="5"/>
        </filterColumn>
      </autoFilter>
    </filter>
    <filter fld="1" type="count" id="4" iMeasureHier="42">
      <autoFilter ref="A1">
        <filterColumn colId="0">
          <top10 top="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table]"/>
        <x15:activeTabTopLevelEntity name="[Calculations]"/>
      </x15:pivotTableUISettings>
    </ext>
  </extLst>
</pivotTableDefinition>
</file>

<file path=xl/pivotTables/pivotTable5.xml><?xml version="1.0" encoding="utf-8"?>
<pivotTableDefinition xmlns="http://schemas.openxmlformats.org/spreadsheetml/2006/main" name="Top5Products" cacheId="1071" applyNumberFormats="0" applyBorderFormats="0" applyFontFormats="0" applyPatternFormats="0" applyAlignmentFormats="0" applyWidthHeightFormats="1" dataCaption="Values" tag="a8f817bf-1606-4d77-81f0-948c1008030b" updatedVersion="6" minRefreshableVersion="3" useAutoFormatting="1" itemPrintTitles="1" createdVersion="6" indent="0" outline="1" outlineData="1" multipleFieldFilters="0" rowHeaderCaption="Products">
  <location ref="AT29:AU35" firstHeaderRow="1" firstDataRow="1" firstDataCol="1"/>
  <pivotFields count="3">
    <pivotField dataField="1" showAll="0"/>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6">
    <i>
      <x/>
    </i>
    <i>
      <x v="4"/>
    </i>
    <i>
      <x v="1"/>
    </i>
    <i>
      <x v="3"/>
    </i>
    <i>
      <x v="2"/>
    </i>
    <i t="grand">
      <x/>
    </i>
  </rowItems>
  <colItems count="1">
    <i/>
  </colItems>
  <dataFields count="1">
    <dataField fld="0" subtotal="count" baseField="0" baseItem="0" numFmtId="168"/>
  </dataFields>
  <formats count="1">
    <format dxfId="132">
      <pivotArea outline="0" collapsedLevelsAreSubtotals="1" fieldPosition="0"/>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products_table]"/>
      </x15:pivotTableUISettings>
    </ext>
  </extLst>
</pivotTableDefinition>
</file>

<file path=xl/pivotTables/pivotTable6.xml><?xml version="1.0" encoding="utf-8"?>
<pivotTableDefinition xmlns="http://schemas.openxmlformats.org/spreadsheetml/2006/main" name="PivotTable20" cacheId="905" applyNumberFormats="0" applyBorderFormats="0" applyFontFormats="0" applyPatternFormats="0" applyAlignmentFormats="0" applyWidthHeightFormats="1" dataCaption="Values" tag="882f16b0-a753-48cc-84ba-3dbf22272a7d" updatedVersion="6" minRefreshableVersion="3" useAutoFormatting="1" subtotalHiddenItems="1" itemPrintTitles="1" createdVersion="6" indent="0" outline="1" outlineData="1" multipleFieldFilters="0" chartFormat="3" rowHeaderCaption="Products">
  <location ref="BD29:BE38" firstHeaderRow="1" firstDataRow="1" firstDataCol="1"/>
  <pivotFields count="3">
    <pivotField dataField="1" showAll="0"/>
    <pivotField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s>
  <rowFields count="1">
    <field x="2"/>
  </rowFields>
  <rowItems count="9">
    <i>
      <x v="4"/>
    </i>
    <i>
      <x v="5"/>
    </i>
    <i>
      <x v="6"/>
    </i>
    <i>
      <x v="7"/>
    </i>
    <i>
      <x v="2"/>
    </i>
    <i>
      <x v="1"/>
    </i>
    <i>
      <x/>
    </i>
    <i>
      <x v="3"/>
    </i>
    <i t="grand">
      <x/>
    </i>
  </rowItems>
  <colItems count="1">
    <i/>
  </colItems>
  <dataFields count="1">
    <dataField fld="0" subtotal="count" baseField="0" baseItem="0" numFmtId="168"/>
  </dataFields>
  <formats count="1">
    <format dxfId="13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products_table]"/>
      </x15:pivotTableUISettings>
    </ext>
  </extLst>
</pivotTableDefinition>
</file>

<file path=xl/pivotTables/pivotTable7.xml><?xml version="1.0" encoding="utf-8"?>
<pivotTableDefinition xmlns="http://schemas.openxmlformats.org/spreadsheetml/2006/main" name="CustomersAge" cacheId="1053" applyNumberFormats="0" applyBorderFormats="0" applyFontFormats="0" applyPatternFormats="0" applyAlignmentFormats="0" applyWidthHeightFormats="1" dataCaption="Values" tag="0aa8ef9a-1aac-42f3-9af6-1cb0dcfa281b" updatedVersion="6" minRefreshableVersion="3" useAutoFormatting="1" itemPrintTitles="1" createdVersion="6" indent="0" outline="1" outlineData="1" multipleFieldFilters="0" chartFormat="3">
  <location ref="P29:Q35" firstHeaderRow="1" firstDataRow="1" firstDataCol="1"/>
  <pivotFields count="3">
    <pivotField dataField="1" showAll="0"/>
    <pivotField axis="axisRow" allDrilled="1" showAll="0" sortType="ascending" defaultAttributeDrillState="1">
      <items count="6">
        <item x="0"/>
        <item x="1"/>
        <item x="2"/>
        <item x="3"/>
        <item x="4"/>
        <item t="default"/>
      </items>
    </pivotField>
    <pivotField allDrilled="1" showAll="0" dataSourceSort="1" defaultAttributeDrillState="1"/>
  </pivotFields>
  <rowFields count="1">
    <field x="1"/>
  </rowFields>
  <rowItems count="6">
    <i>
      <x/>
    </i>
    <i>
      <x v="1"/>
    </i>
    <i>
      <x v="2"/>
    </i>
    <i>
      <x v="3"/>
    </i>
    <i>
      <x v="4"/>
    </i>
    <i t="grand">
      <x/>
    </i>
  </rowItems>
  <colItems count="1">
    <i/>
  </colItems>
  <dataFields count="1">
    <dataField fld="0" subtotal="count" baseField="0" baseItem="0" numFmtId="167"/>
  </dataFields>
  <formats count="3">
    <format dxfId="136">
      <pivotArea outline="0" collapsedLevelsAreSubtotals="1" fieldPosition="0"/>
    </format>
    <format dxfId="135">
      <pivotArea outline="0" collapsedLevelsAreSubtotals="1" fieldPosition="0"/>
    </format>
    <format dxfId="134">
      <pivotArea collapsedLevelsAreSubtotals="1" fieldPosition="0">
        <references count="1">
          <reference field="1" count="0"/>
        </references>
      </pivotArea>
    </format>
  </formats>
  <chartFormats count="1">
    <chartFormat chart="2"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customers_table]"/>
      </x15:pivotTableUISettings>
    </ext>
  </extLst>
</pivotTableDefinition>
</file>

<file path=xl/pivotTables/pivotTable8.xml><?xml version="1.0" encoding="utf-8"?>
<pivotTableDefinition xmlns="http://schemas.openxmlformats.org/spreadsheetml/2006/main" name="AllProducts" cacheId="1050" applyNumberFormats="0" applyBorderFormats="0" applyFontFormats="0" applyPatternFormats="0" applyAlignmentFormats="0" applyWidthHeightFormats="1" dataCaption="Values" tag="277d0628-2eb6-4ce7-970c-8201567eff2f" updatedVersion="6" minRefreshableVersion="3" useAutoFormatting="1" itemPrintTitles="1" createdVersion="6" indent="0" outline="1" outlineData="1" multipleFieldFilters="0" rowHeaderCaption="Products">
  <location ref="AY29:BA130" firstHeaderRow="0" firstDataRow="1" firstDataCol="1"/>
  <pivotFields count="4">
    <pivotField dataField="1" showAll="0"/>
    <pivotField axis="axisRow" allDrilled="1" showAll="0" dataSourceSort="1" defaultAttributeDrillState="1">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dataField="1" showAll="0"/>
    <pivotField allDrilled="1" showAll="0" dataSourceSort="1" defaultAttributeDrillState="1"/>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2">
    <i>
      <x/>
    </i>
    <i i="1">
      <x v="1"/>
    </i>
  </colItems>
  <dataFields count="2">
    <dataField fld="0" subtotal="count" baseField="0" baseItem="0" numFmtId="168"/>
    <dataField name="Total Quantity" fld="2" baseField="0" baseItem="0"/>
  </dataFields>
  <formats count="1">
    <format dxfId="137">
      <pivotArea outline="0" collapsedLevelsAreSubtotals="1" fieldPosition="0"/>
    </format>
  </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ntit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products_table]"/>
        <x15:activeTabTopLevelEntity name="[fact_table]"/>
      </x15:pivotTableUISettings>
    </ext>
  </extLst>
</pivotTableDefinition>
</file>

<file path=xl/pivotTables/pivotTable9.xml><?xml version="1.0" encoding="utf-8"?>
<pivotTableDefinition xmlns="http://schemas.openxmlformats.org/spreadsheetml/2006/main" name="Location" cacheId="1062" applyNumberFormats="0" applyBorderFormats="0" applyFontFormats="0" applyPatternFormats="0" applyAlignmentFormats="0" applyWidthHeightFormats="1" dataCaption="Values" tag="98d21ec4-6331-4427-938d-80b7b84556b3" updatedVersion="6" minRefreshableVersion="3" useAutoFormatting="1" rowGrandTotals="0" colGrandTotals="0" itemPrintTitles="1" createdVersion="6" indent="0" outline="1" outlineData="1" multipleFieldFilters="0" rowHeaderCaption="Location">
  <location ref="E18:F23" firstHeaderRow="1" firstDataRow="1" firstDataCol="1"/>
  <pivotFields count="4">
    <pivotField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xis="axisRow" allDrilled="1" showAll="0" measureFilter="1"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5">
    <i>
      <x v="2"/>
    </i>
    <i>
      <x v="1"/>
    </i>
    <i>
      <x/>
    </i>
    <i>
      <x v="4"/>
    </i>
    <i>
      <x v="3"/>
    </i>
  </rowItems>
  <colItems count="1">
    <i/>
  </colItems>
  <dataFields count="1">
    <dataField fld="1" subtotal="count"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42">
      <autoFilter ref="A1">
        <filterColumn colId="0">
          <top10 top="0" val="5" filterVal="5"/>
        </filterColumn>
      </autoFilter>
    </filter>
    <filter fld="2" type="count" id="4" iMeasureHier="42">
      <autoFilter ref="A1">
        <filterColumn colId="0">
          <top10 top="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_table]"/>
        <x15:activeTabTopLevelEntity name="[Calculation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_Name" sourceName="[sales_persons_table].[Store Name]">
  <pivotTables>
    <pivotTable tabId="1" name="PivotTable1"/>
    <pivotTable tabId="1" name="PivotTable13"/>
    <pivotTable tabId="1" name="PivotTable14"/>
    <pivotTable tabId="1" name="PivotTable2"/>
    <pivotTable tabId="1" name="PivotTable3"/>
    <pivotTable tabId="1" name="PivotTable4"/>
    <pivotTable tabId="1" name="PivotTable5"/>
  </pivotTables>
  <data>
    <olap pivotCacheId="49">
      <levels count="2">
        <level uniqueName="[sales_persons_table].[Store Name].[(All)]" sourceCaption="(All)" count="0"/>
        <level uniqueName="[sales_persons_table].[Store Name].[Store Name]" sourceCaption="Store Name" count="10">
          <ranges>
            <range startItem="0">
              <i n="[sales_persons_table].[Store Name].&amp;[Barron-Fleming]" c="Barron-Fleming"/>
              <i n="[sales_persons_table].[Store Name].&amp;[Berg-Trujillo]" c="Berg-Trujillo"/>
              <i n="[sales_persons_table].[Store Name].&amp;[Lee-Myers]" c="Lee-Myers"/>
              <i n="[sales_persons_table].[Store Name].&amp;[Lopez]" c="Lopez"/>
              <i n="[sales_persons_table].[Store Name].&amp;[Martinez]" c="Martinez"/>
              <i n="[sales_persons_table].[Store Name].&amp;[Miller]" c="Miller"/>
              <i n="[sales_persons_table].[Store Name].&amp;[Myers-Lopez]" c="Myers-Lopez"/>
              <i n="[sales_persons_table].[Store Name].&amp;[Novak PLC]" c="Novak PLC"/>
              <i n="[sales_persons_table].[Store Name].&amp;[Thomas]" c="Thomas"/>
              <i n="[sales_persons_table].[Store Name].&amp;[Valdez]" c="Valdez"/>
            </range>
          </ranges>
        </level>
      </levels>
      <selections count="1">
        <selection n="[sales_persons_table].[Store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Date].[Month]">
  <pivotTables>
    <pivotTable tabId="7" name="PivotTable10"/>
    <pivotTable tabId="7" name="AllProducts"/>
    <pivotTable tabId="7" name="CustomersAge"/>
    <pivotTable tabId="7" name="CustomersGender"/>
    <pivotTable tabId="7" name="CustomersName"/>
    <pivotTable tabId="7" name="Location"/>
    <pivotTable tabId="7" name="ProductKPI"/>
    <pivotTable tabId="7" name="Productweekdays"/>
    <pivotTable tabId="7" name="Top5Products"/>
    <pivotTable tabId="3" name="Variance Table"/>
    <pivotTable tabId="3" name="KPI"/>
    <pivotTable tabId="3" name="PivotTable1"/>
    <pivotTable tabId="3" name="Store_revenue_target"/>
  </pivotTables>
  <data>
    <olap pivotCacheId="48">
      <levels count="2">
        <level uniqueName="[Date].[Month].[(All)]" sourceCaption="(All)" count="0"/>
        <level uniqueName="[Date].[Month].[Month]" sourceCaption="Month" count="12">
          <ranges>
            <range startItem="0">
              <i n="[Date].[Month].&amp;[Jan]" c="Jan"/>
              <i n="[Date].[Month].&amp;[Feb]" c="Feb"/>
              <i n="[Date].[Month].&amp;[Mar]" c="Mar"/>
              <i n="[Date].[Month].&amp;[Apr]" c="Apr"/>
              <i n="[Date].[Month].&amp;[May]" c="May"/>
              <i n="[Date].[Month].&amp;[Jun]" c="Jun"/>
              <i n="[Date].[Month].&amp;[Jul]" c="Jul"/>
              <i n="[Date].[Month].&amp;[Aug]" c="Aug"/>
              <i n="[Date].[Month].&amp;[Sep]" c="Sep"/>
              <i n="[Date].[Month].&amp;[Oct]" c="Oct"/>
              <i n="[Date].[Month].&amp;[Nov]" c="Nov"/>
              <i n="[Date].[Month].&amp;[Dec]" c="Dec"/>
            </range>
          </ranges>
        </level>
      </levels>
      <selections count="1">
        <selection n="[Date].[Month].&amp;[Sep]"/>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 Name" cache="Slicer_Store_Name" caption="Store Name" level="1" style="Slicer Style 2 2"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Month 2" cache="Slicer_Month1" caption="Filter by Month" columnCount="3" level="1" style="Slicer Style 2" rowHeight="365760"/>
</slicers>
</file>

<file path=xl/slicers/slicer3.xml><?xml version="1.0" encoding="utf-8"?>
<slicers xmlns="http://schemas.microsoft.com/office/spreadsheetml/2009/9/main" xmlns:mc="http://schemas.openxmlformats.org/markup-compatibility/2006" xmlns:x="http://schemas.openxmlformats.org/spreadsheetml/2006/main" mc:Ignorable="x">
  <slicer name="Month" cache="Slicer_Month1" caption="Filter by Month" columnCount="3" level="1" style="Slicer Style 2"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18.xml"/><Relationship Id="rId7" Type="http://schemas.openxmlformats.org/officeDocument/2006/relationships/pivotTable" Target="../pivotTables/pivotTable22.xml"/><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5" Type="http://schemas.openxmlformats.org/officeDocument/2006/relationships/pivotTable" Target="../pivotTables/pivotTable20.xml"/><Relationship Id="rId4" Type="http://schemas.openxmlformats.org/officeDocument/2006/relationships/pivotTable" Target="../pivotTables/pivotTable19.xml"/><Relationship Id="rId9"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25.xml"/><Relationship Id="rId2" Type="http://schemas.openxmlformats.org/officeDocument/2006/relationships/pivotTable" Target="../pivotTables/pivotTable24.xml"/><Relationship Id="rId1" Type="http://schemas.openxmlformats.org/officeDocument/2006/relationships/pivotTable" Target="../pivotTables/pivotTable23.xml"/><Relationship Id="rId5" Type="http://schemas.openxmlformats.org/officeDocument/2006/relationships/printerSettings" Target="../printerSettings/printerSettings7.bin"/><Relationship Id="rId4" Type="http://schemas.openxmlformats.org/officeDocument/2006/relationships/pivotTable" Target="../pivotTables/pivotTable2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T17"/>
  <sheetViews>
    <sheetView showGridLines="0" workbookViewId="0">
      <selection activeCell="O9" sqref="O9"/>
    </sheetView>
  </sheetViews>
  <sheetFormatPr defaultRowHeight="15" x14ac:dyDescent="0.25"/>
  <cols>
    <col min="3" max="12" width="2.28515625" style="15" customWidth="1"/>
    <col min="16" max="16" width="10.5703125" bestFit="1" customWidth="1"/>
    <col min="18" max="18" width="13.140625" bestFit="1" customWidth="1"/>
  </cols>
  <sheetData>
    <row r="4" spans="2:20" ht="21" x14ac:dyDescent="0.35">
      <c r="O4" t="s">
        <v>95</v>
      </c>
      <c r="P4" s="59">
        <f>GETPIVOTDATA("[Measures].[Profit Margin]",'Analysis-3'!$S$29,"[customers_table].[Gender]","[customers_table].[Gender].&amp;[Male]")</f>
        <v>0.52055950601421019</v>
      </c>
    </row>
    <row r="5" spans="2:20" x14ac:dyDescent="0.25">
      <c r="O5" t="s">
        <v>94</v>
      </c>
      <c r="P5" s="14">
        <f>GETPIVOTDATA("[Measures].[Profit Margin]",'Analysis-3'!$S$29,"[customers_table].[Gender]","[customers_table].[Gender].&amp;[Female]")</f>
        <v>0.47944049398578958</v>
      </c>
    </row>
    <row r="7" spans="2:20" x14ac:dyDescent="0.25">
      <c r="O7" t="s">
        <v>96</v>
      </c>
    </row>
    <row r="8" spans="2:20" s="61" customFormat="1" ht="11.25" customHeight="1" x14ac:dyDescent="0.25">
      <c r="C8" s="60" t="str">
        <f>IF(91/100&gt;$P$4,$O$8,$O$9)</f>
        <v>▪</v>
      </c>
      <c r="D8" s="60" t="str">
        <f>IF(92/100&gt;$P$4,$O$8,$O$9)</f>
        <v>▪</v>
      </c>
      <c r="E8" s="60" t="str">
        <f>IF(93/100&gt;$P$4,$O$8,$O$9)</f>
        <v>▪</v>
      </c>
      <c r="F8" s="60" t="str">
        <f>IF(94/100&gt;$P$4,$O$8,$O$9)</f>
        <v>▪</v>
      </c>
      <c r="G8" s="60" t="str">
        <f>IF(95/100&gt;$P$4,$O$8,$O$9)</f>
        <v>▪</v>
      </c>
      <c r="H8" s="60" t="str">
        <f>IF(96/100&gt;$P$4,$O$8,$O$9)</f>
        <v>▪</v>
      </c>
      <c r="I8" s="60" t="str">
        <f>IF(97/100&gt;$P$4,$O$8,$O$9)</f>
        <v>▪</v>
      </c>
      <c r="J8" s="60" t="str">
        <f>IF(98/100&gt;$P$4,$O$8,$O$9)</f>
        <v>▪</v>
      </c>
      <c r="K8" s="60" t="str">
        <f>IF(99/100&gt;$P$4,$O$8,$O$9)</f>
        <v>▪</v>
      </c>
      <c r="L8" s="60" t="str">
        <f>IF(100/100&gt;$P$4,$O$8,$O$9)</f>
        <v>▪</v>
      </c>
      <c r="O8" s="62" t="s">
        <v>97</v>
      </c>
      <c r="R8"/>
      <c r="S8"/>
      <c r="T8"/>
    </row>
    <row r="9" spans="2:20" s="61" customFormat="1" ht="11.25" customHeight="1" x14ac:dyDescent="0.25">
      <c r="C9" s="60" t="str">
        <f>IF(81/100&gt;$P$4,$O$8,$O$9)</f>
        <v>▪</v>
      </c>
      <c r="D9" s="60" t="str">
        <f>IF(82/100&gt;$P$4,$O$8,$O$9)</f>
        <v>▪</v>
      </c>
      <c r="E9" s="60" t="str">
        <f>IF(83/100&gt;$P$4,$O$8,$O$9)</f>
        <v>▪</v>
      </c>
      <c r="F9" s="60" t="str">
        <f>IF(84/100&gt;$P$4,$O$8,$O$9)</f>
        <v>▪</v>
      </c>
      <c r="G9" s="60" t="str">
        <f>IF(85/100&gt;$P$4,$O$8,$O$9)</f>
        <v>▪</v>
      </c>
      <c r="H9" s="60" t="str">
        <f>IF(86/100&gt;$P$4,$O$8,$O$9)</f>
        <v>▪</v>
      </c>
      <c r="I9" s="60" t="str">
        <f>IF(87/100&gt;$P$4,$O$8,$O$9)</f>
        <v>▪</v>
      </c>
      <c r="J9" s="60" t="str">
        <f>IF(88/100&gt;$P$4,$O$8,$O$9)</f>
        <v>▪</v>
      </c>
      <c r="K9" s="60" t="str">
        <f>IF(89/100&gt;$P$4,$O$8,$O$9)</f>
        <v>▪</v>
      </c>
      <c r="L9" s="60" t="str">
        <f>IF(90/100&gt;$P$4,$O$8,$O$9)</f>
        <v>▪</v>
      </c>
      <c r="O9" s="63" t="s">
        <v>98</v>
      </c>
      <c r="R9" s="58"/>
      <c r="S9"/>
      <c r="T9"/>
    </row>
    <row r="10" spans="2:20" s="61" customFormat="1" ht="11.25" customHeight="1" x14ac:dyDescent="0.25">
      <c r="C10" s="60" t="str">
        <f>IF(71/100&gt;$P$4,$O$8,$O$9)</f>
        <v>▪</v>
      </c>
      <c r="D10" s="60" t="str">
        <f>IF(72/100&gt;$P$4,$O$8,$O$9)</f>
        <v>▪</v>
      </c>
      <c r="E10" s="60" t="str">
        <f>IF(73/100&gt;$P$4,$O$8,$O$9)</f>
        <v>▪</v>
      </c>
      <c r="F10" s="60" t="str">
        <f>IF(74/100&gt;$P$4,$O$8,$O$9)</f>
        <v>▪</v>
      </c>
      <c r="G10" s="60" t="str">
        <f>IF(75/100&gt;$P$4,$O$8,$O$9)</f>
        <v>▪</v>
      </c>
      <c r="H10" s="60" t="str">
        <f>IF(76/100&gt;$P$4,$O$8,$O$9)</f>
        <v>▪</v>
      </c>
      <c r="I10" s="60" t="str">
        <f>IF(77/100&gt;$P$4,$O$8,$O$9)</f>
        <v>▪</v>
      </c>
      <c r="J10" s="60" t="str">
        <f>IF(78/100&gt;$P$4,$O$8,$O$9)</f>
        <v>▪</v>
      </c>
      <c r="K10" s="60" t="str">
        <f>IF(79/100&gt;$P$4,$O$8,$O$9)</f>
        <v>▪</v>
      </c>
      <c r="L10" s="60" t="str">
        <f>IF(80/100&gt;$P$4,$O$8,$O$9)</f>
        <v>▪</v>
      </c>
      <c r="R10" s="58"/>
      <c r="S10"/>
      <c r="T10"/>
    </row>
    <row r="11" spans="2:20" s="61" customFormat="1" ht="11.25" customHeight="1" x14ac:dyDescent="0.25">
      <c r="C11" s="60" t="str">
        <f>IF(61/100&gt;$P$4,$O$8,$O$9)</f>
        <v>▪</v>
      </c>
      <c r="D11" s="60" t="str">
        <f>IF(62/100&gt;$P$4,$O$8,$O$9)</f>
        <v>▪</v>
      </c>
      <c r="E11" s="60" t="str">
        <f>IF(63/100&gt;$P$4,$O$8,$O$9)</f>
        <v>▪</v>
      </c>
      <c r="F11" s="60" t="str">
        <f>IF(64/100&gt;$P$4,$O$8,$O$9)</f>
        <v>▪</v>
      </c>
      <c r="G11" s="60" t="str">
        <f>IF(65/100&gt;$P$4,$O$8,$O$9)</f>
        <v>▪</v>
      </c>
      <c r="H11" s="60" t="str">
        <f>IF(66/100&gt;$P$4,$O$8,$O$9)</f>
        <v>▪</v>
      </c>
      <c r="I11" s="60" t="str">
        <f>IF(67/100&gt;$P$4,$O$8,$O$9)</f>
        <v>▪</v>
      </c>
      <c r="J11" s="60" t="str">
        <f>IF(68/100&gt;$P$4,$O$8,$O$9)</f>
        <v>▪</v>
      </c>
      <c r="K11" s="60" t="str">
        <f>IF(69/100&gt;$P$4,$O$8,$O$9)</f>
        <v>▪</v>
      </c>
      <c r="L11" s="60" t="str">
        <f>IF(70/100&gt;$P$4,$O$8,$O$9)</f>
        <v>▪</v>
      </c>
      <c r="R11" s="58"/>
      <c r="S11"/>
      <c r="T11"/>
    </row>
    <row r="12" spans="2:20" s="61" customFormat="1" ht="11.25" customHeight="1" x14ac:dyDescent="0.25">
      <c r="B12" s="64"/>
      <c r="C12" s="64" t="str">
        <f>IF(51/100&gt;$P$4,$O$8,$O$9)</f>
        <v>●</v>
      </c>
      <c r="D12" s="60" t="str">
        <f>IF(52/100&gt;$P$4,$O$8,$O$9)</f>
        <v>●</v>
      </c>
      <c r="E12" s="60" t="str">
        <f>IF(53/100&gt;$P$4,$O$8,$O$9)</f>
        <v>▪</v>
      </c>
      <c r="F12" s="60" t="str">
        <f>IF(54/100&gt;$P$4,$O$8,$O$9)</f>
        <v>▪</v>
      </c>
      <c r="G12" s="60" t="str">
        <f>IF(55/100&gt;$P$4,$O$8,$O$9)</f>
        <v>▪</v>
      </c>
      <c r="H12" s="60" t="str">
        <f>IF(56/100&gt;$P$4,$O$8,$O$9)</f>
        <v>▪</v>
      </c>
      <c r="I12" s="60" t="str">
        <f>IF(57/100&gt;$P$4,$O$8,$O$9)</f>
        <v>▪</v>
      </c>
      <c r="J12" s="60" t="str">
        <f>IF(58/100&gt;$P$4,$O$8,$O$9)</f>
        <v>▪</v>
      </c>
      <c r="K12" s="60" t="str">
        <f>IF(59/100&gt;$P$4,$O$8,$O$9)</f>
        <v>▪</v>
      </c>
      <c r="L12" s="60" t="str">
        <f>IF(60/100&gt;$P$4,$O$8,$O$9)</f>
        <v>▪</v>
      </c>
      <c r="R12"/>
      <c r="S12"/>
      <c r="T12"/>
    </row>
    <row r="13" spans="2:20" s="61" customFormat="1" ht="11.25" customHeight="1" x14ac:dyDescent="0.25">
      <c r="C13" s="64" t="str">
        <f>IF(41/100&gt;$P$4,$O$8,$O$9)</f>
        <v>●</v>
      </c>
      <c r="D13" s="64" t="str">
        <f>IF(42/100&gt;$P$4,$O$8,$O$9)</f>
        <v>●</v>
      </c>
      <c r="E13" s="64" t="str">
        <f>IF(43/100&gt;$P$4,$O$8,$O$9)</f>
        <v>●</v>
      </c>
      <c r="F13" s="64" t="str">
        <f>IF(44/100&gt;$P$4,$O$8,$O$9)</f>
        <v>●</v>
      </c>
      <c r="G13" s="64" t="str">
        <f>IF(45/100&gt;$P$4,$O$8,$O$9)</f>
        <v>●</v>
      </c>
      <c r="H13" s="64" t="str">
        <f>IF(46/100&gt;$P$4,$O$8,$O$9)</f>
        <v>●</v>
      </c>
      <c r="I13" s="64" t="str">
        <f>IF(47/100&gt;$P$4,$O$8,$O$9)</f>
        <v>●</v>
      </c>
      <c r="J13" s="64" t="str">
        <f>IF(48/100&gt;$P$4,$O$8,$O$9)</f>
        <v>●</v>
      </c>
      <c r="K13" s="64" t="str">
        <f>IF(49/100&gt;$P$4,$O$8,$O$9)</f>
        <v>●</v>
      </c>
      <c r="L13" s="64" t="str">
        <f>IF(50/100&gt;$P$4,$O$8,$O$9)</f>
        <v>●</v>
      </c>
      <c r="R13"/>
      <c r="S13"/>
      <c r="T13"/>
    </row>
    <row r="14" spans="2:20" s="61" customFormat="1" ht="11.25" customHeight="1" x14ac:dyDescent="0.25">
      <c r="C14" s="64" t="str">
        <f>IF(31/100&gt;$P$4,$O$8,$O$9)</f>
        <v>●</v>
      </c>
      <c r="D14" s="64" t="str">
        <f>IF(32/100&gt;$P$4,$O$8,$O$9)</f>
        <v>●</v>
      </c>
      <c r="E14" s="64" t="str">
        <f>IF(33/100&gt;$P$4,$O$8,$O$9)</f>
        <v>●</v>
      </c>
      <c r="F14" s="64" t="str">
        <f>IF(34/100&gt;$P$4,$O$8,$O$9)</f>
        <v>●</v>
      </c>
      <c r="G14" s="64" t="str">
        <f>IF(35/100&gt;$P$4,$O$8,$O$9)</f>
        <v>●</v>
      </c>
      <c r="H14" s="64" t="str">
        <f>IF(36/100&gt;$P$4,$O$8,$O$9)</f>
        <v>●</v>
      </c>
      <c r="I14" s="64" t="str">
        <f>IF(37/100&gt;$P$4,$O$8,$O$9)</f>
        <v>●</v>
      </c>
      <c r="J14" s="64" t="str">
        <f>IF(38/100&gt;$P$4,$O$8,$O$9)</f>
        <v>●</v>
      </c>
      <c r="K14" s="64" t="str">
        <f>IF(39/100&gt;$P$4,$O$8,$O$9)</f>
        <v>●</v>
      </c>
      <c r="L14" s="64" t="str">
        <f>IF(40/100&gt;$P$4,$O$8,$O$9)</f>
        <v>●</v>
      </c>
      <c r="R14"/>
      <c r="S14"/>
      <c r="T14"/>
    </row>
    <row r="15" spans="2:20" s="61" customFormat="1" ht="11.25" customHeight="1" x14ac:dyDescent="0.25">
      <c r="C15" s="64" t="str">
        <f>IF(21/100&gt;$P$4,$O$8,$O$9)</f>
        <v>●</v>
      </c>
      <c r="D15" s="64" t="str">
        <f>IF(22/100&gt;$P$4,$O$8,$O$9)</f>
        <v>●</v>
      </c>
      <c r="E15" s="64" t="str">
        <f>IF(23/100&gt;$P$4,$O$8,$O$9)</f>
        <v>●</v>
      </c>
      <c r="F15" s="64" t="str">
        <f>IF(24/100&gt;$P$4,$O$8,$O$9)</f>
        <v>●</v>
      </c>
      <c r="G15" s="64" t="str">
        <f>IF(25/100&gt;$P$4,$O$8,$O$9)</f>
        <v>●</v>
      </c>
      <c r="H15" s="64" t="str">
        <f>IF(26/100&gt;$P$4,$O$8,$O$9)</f>
        <v>●</v>
      </c>
      <c r="I15" s="64" t="str">
        <f>IF(27/100&gt;$P$4,$O$8,$O$9)</f>
        <v>●</v>
      </c>
      <c r="J15" s="64" t="str">
        <f>IF(28/100&gt;$P$4,$O$8,$O$9)</f>
        <v>●</v>
      </c>
      <c r="K15" s="64" t="str">
        <f>IF(29/100&gt;$P$4,$O$8,$O$9)</f>
        <v>●</v>
      </c>
      <c r="L15" s="64" t="str">
        <f>IF(30/100&gt;$P$4,$O$8,$O$9)</f>
        <v>●</v>
      </c>
      <c r="R15"/>
      <c r="S15"/>
      <c r="T15"/>
    </row>
    <row r="16" spans="2:20" s="61" customFormat="1" ht="11.25" customHeight="1" x14ac:dyDescent="0.25">
      <c r="C16" s="64" t="str">
        <f>IF(11/100&gt;$P$4,$O$8,$O$9)</f>
        <v>●</v>
      </c>
      <c r="D16" s="64" t="str">
        <f>IF(12/100&gt;$P$4,$O$8,$O$9)</f>
        <v>●</v>
      </c>
      <c r="E16" s="64" t="str">
        <f>IF(13/100&gt;$P$4,$O$8,$O$9)</f>
        <v>●</v>
      </c>
      <c r="F16" s="64" t="str">
        <f>IF(14/100&gt;$P$4,$O$8,$O$9)</f>
        <v>●</v>
      </c>
      <c r="G16" s="64" t="str">
        <f>IF(15/100&gt;$P$4,$O$8,$O$9)</f>
        <v>●</v>
      </c>
      <c r="H16" s="64" t="str">
        <f>IF(16/100&gt;$P$4,$O$8,$O$9)</f>
        <v>●</v>
      </c>
      <c r="I16" s="64" t="str">
        <f>IF(17/100&gt;$P$4,$O$8,$O$9)</f>
        <v>●</v>
      </c>
      <c r="J16" s="64" t="str">
        <f>IF(18/100&gt;$P$4,$O$8,$O$9)</f>
        <v>●</v>
      </c>
      <c r="K16" s="64" t="str">
        <f>IF(19/100&gt;$P$4,$O$8,$O$9)</f>
        <v>●</v>
      </c>
      <c r="L16" s="64" t="str">
        <f>IF(20/100&gt;$P$4,$O$8,$O$9)</f>
        <v>●</v>
      </c>
      <c r="R16"/>
      <c r="S16"/>
      <c r="T16"/>
    </row>
    <row r="17" spans="3:20" s="61" customFormat="1" ht="11.25" customHeight="1" x14ac:dyDescent="0.25">
      <c r="C17" s="64" t="str">
        <f>IF(1/100&gt;$P$4,$O$8,$O$9)</f>
        <v>●</v>
      </c>
      <c r="D17" s="64" t="str">
        <f>IF(2/100&gt;$P$4,$O$8,$O$9)</f>
        <v>●</v>
      </c>
      <c r="E17" s="64" t="str">
        <f>IF(3/100&gt;$P$4,$O$8,$O$9)</f>
        <v>●</v>
      </c>
      <c r="F17" s="64" t="str">
        <f>IF(4/100&gt;$P$4,$O$8,$O$9)</f>
        <v>●</v>
      </c>
      <c r="G17" s="64" t="str">
        <f>IF(5/100&gt;$P$4,$O$8,$O$9)</f>
        <v>●</v>
      </c>
      <c r="H17" s="64" t="str">
        <f>IF(6/100&gt;$P$4,$O$8,$O$9)</f>
        <v>●</v>
      </c>
      <c r="I17" s="64" t="str">
        <f>IF(7/100&gt;$P$4,$O$8,$O$9)</f>
        <v>●</v>
      </c>
      <c r="J17" s="64" t="str">
        <f>IF(8/100&gt;$P$4,$O$8,$O$9)</f>
        <v>●</v>
      </c>
      <c r="K17" s="64" t="str">
        <f>IF(9/100&gt;$P$4,$O$8,$O$9)</f>
        <v>●</v>
      </c>
      <c r="L17" s="64" t="str">
        <f>IF(10/100&gt;$P$4,$O$8,$O$9)</f>
        <v>●</v>
      </c>
      <c r="R17"/>
      <c r="S17"/>
      <c r="T17"/>
    </row>
  </sheetData>
  <sortState ref="C21:L30">
    <sortCondition descending="1" ref="C21"/>
  </sortState>
  <conditionalFormatting sqref="C8:L17">
    <cfRule type="expression" dxfId="177" priority="5">
      <formula>C8&lt;&gt;$O$9</formula>
    </cfRule>
    <cfRule type="expression" dxfId="176" priority="6">
      <formula>C8&lt;&gt;$O$8</formula>
    </cfRule>
  </conditionalFormatting>
  <conditionalFormatting sqref="B12">
    <cfRule type="expression" dxfId="175" priority="1">
      <formula>B12&lt;&gt;$O$9</formula>
    </cfRule>
    <cfRule type="expression" dxfId="174" priority="2">
      <formula>B12&lt;&gt;$O$8</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I130"/>
  <sheetViews>
    <sheetView topLeftCell="A14" workbookViewId="0">
      <selection activeCell="C24" sqref="C24"/>
    </sheetView>
  </sheetViews>
  <sheetFormatPr defaultRowHeight="15" x14ac:dyDescent="0.25"/>
  <cols>
    <col min="1" max="1" width="16.85546875" customWidth="1"/>
    <col min="2" max="2" width="12.7109375" bestFit="1" customWidth="1"/>
    <col min="5" max="5" width="12.7109375" customWidth="1"/>
    <col min="6" max="6" width="12.7109375" bestFit="1" customWidth="1"/>
    <col min="8" max="8" width="11.5703125" bestFit="1" customWidth="1"/>
    <col min="9" max="9" width="12.5703125" bestFit="1" customWidth="1"/>
    <col min="10" max="10" width="12.7109375" bestFit="1" customWidth="1"/>
    <col min="15" max="15" width="11.85546875" bestFit="1" customWidth="1"/>
    <col min="16" max="16" width="13.140625" customWidth="1"/>
    <col min="17" max="17" width="12.7109375" customWidth="1"/>
    <col min="18" max="18" width="13.85546875" customWidth="1"/>
    <col min="19" max="19" width="13.140625" customWidth="1"/>
    <col min="20" max="20" width="12.7109375" customWidth="1"/>
    <col min="21" max="21" width="23.85546875" bestFit="1" customWidth="1"/>
    <col min="22" max="22" width="9.140625" style="67"/>
    <col min="24" max="24" width="13.140625" bestFit="1" customWidth="1"/>
    <col min="25" max="25" width="12.7109375" bestFit="1" customWidth="1"/>
    <col min="28" max="28" width="13.140625" bestFit="1" customWidth="1"/>
    <col min="29" max="29" width="12.7109375" customWidth="1"/>
    <col min="36" max="36" width="7.42578125" customWidth="1"/>
    <col min="37" max="37" width="12.7109375" bestFit="1" customWidth="1"/>
    <col min="39" max="39" width="9.140625" style="66"/>
    <col min="41" max="41" width="10.140625" bestFit="1" customWidth="1"/>
    <col min="42" max="42" width="11.42578125" bestFit="1" customWidth="1"/>
    <col min="43" max="43" width="11.85546875" bestFit="1" customWidth="1"/>
    <col min="46" max="46" width="15.28515625" customWidth="1"/>
    <col min="47" max="47" width="12.7109375" bestFit="1" customWidth="1"/>
    <col min="48" max="49" width="12.7109375" customWidth="1"/>
    <col min="51" max="51" width="20.85546875" customWidth="1"/>
    <col min="52" max="52" width="12.7109375" customWidth="1"/>
    <col min="53" max="53" width="13.7109375" customWidth="1"/>
    <col min="56" max="56" width="18.140625" bestFit="1" customWidth="1"/>
    <col min="57" max="57" width="12.7109375" bestFit="1" customWidth="1"/>
  </cols>
  <sheetData>
    <row r="2" spans="1:9" x14ac:dyDescent="0.25">
      <c r="E2" s="55" t="s">
        <v>63</v>
      </c>
      <c r="F2" s="56">
        <v>1</v>
      </c>
      <c r="I2" s="57" t="s">
        <v>65</v>
      </c>
    </row>
    <row r="3" spans="1:9" x14ac:dyDescent="0.25">
      <c r="E3" s="55" t="s">
        <v>64</v>
      </c>
      <c r="F3" s="56">
        <v>2</v>
      </c>
      <c r="I3" s="57" t="s">
        <v>66</v>
      </c>
    </row>
    <row r="5" spans="1:9" x14ac:dyDescent="0.25">
      <c r="A5" t="s">
        <v>67</v>
      </c>
      <c r="E5" t="s">
        <v>74</v>
      </c>
    </row>
    <row r="6" spans="1:9" x14ac:dyDescent="0.25">
      <c r="A6" s="8" t="s">
        <v>85</v>
      </c>
      <c r="B6" t="s">
        <v>2</v>
      </c>
      <c r="E6" s="8" t="s">
        <v>66</v>
      </c>
      <c r="F6" t="s">
        <v>2</v>
      </c>
    </row>
    <row r="7" spans="1:9" x14ac:dyDescent="0.25">
      <c r="A7" s="58" t="s">
        <v>69</v>
      </c>
      <c r="B7" s="1">
        <v>8477.4799999999977</v>
      </c>
      <c r="E7" s="58" t="s">
        <v>81</v>
      </c>
      <c r="F7" s="1">
        <v>134907.56</v>
      </c>
    </row>
    <row r="8" spans="1:9" x14ac:dyDescent="0.25">
      <c r="A8" s="58" t="s">
        <v>70</v>
      </c>
      <c r="B8" s="1">
        <v>7569.0199999999959</v>
      </c>
      <c r="E8" s="58" t="s">
        <v>77</v>
      </c>
      <c r="F8" s="1">
        <v>132555.79000000024</v>
      </c>
    </row>
    <row r="9" spans="1:9" x14ac:dyDescent="0.25">
      <c r="A9" s="58" t="s">
        <v>71</v>
      </c>
      <c r="B9" s="1">
        <v>7236.9200000000019</v>
      </c>
      <c r="E9" s="58" t="s">
        <v>78</v>
      </c>
      <c r="F9" s="1">
        <v>132061.01999999973</v>
      </c>
    </row>
    <row r="10" spans="1:9" x14ac:dyDescent="0.25">
      <c r="A10" s="58" t="s">
        <v>72</v>
      </c>
      <c r="B10" s="1">
        <v>7191.9699999999975</v>
      </c>
      <c r="E10" s="58" t="s">
        <v>80</v>
      </c>
      <c r="F10" s="1">
        <v>131335.97000000015</v>
      </c>
    </row>
    <row r="11" spans="1:9" x14ac:dyDescent="0.25">
      <c r="A11" s="58" t="s">
        <v>73</v>
      </c>
      <c r="B11" s="1">
        <v>6966.5800000000008</v>
      </c>
      <c r="E11" s="58" t="s">
        <v>79</v>
      </c>
      <c r="F11" s="1">
        <v>128176.22000000032</v>
      </c>
    </row>
    <row r="12" spans="1:9" x14ac:dyDescent="0.25">
      <c r="A12" s="58" t="s">
        <v>21</v>
      </c>
      <c r="B12" s="1">
        <v>37441.970000000023</v>
      </c>
    </row>
    <row r="17" spans="1:61" x14ac:dyDescent="0.25">
      <c r="A17" t="s">
        <v>68</v>
      </c>
      <c r="E17" t="s">
        <v>82</v>
      </c>
      <c r="O17" t="s">
        <v>82</v>
      </c>
    </row>
    <row r="18" spans="1:61" x14ac:dyDescent="0.25">
      <c r="A18" s="8" t="s">
        <v>85</v>
      </c>
      <c r="B18" t="s">
        <v>2</v>
      </c>
      <c r="E18" s="8" t="s">
        <v>66</v>
      </c>
      <c r="F18" t="s">
        <v>2</v>
      </c>
      <c r="O18" t="s">
        <v>87</v>
      </c>
      <c r="P18" t="s">
        <v>88</v>
      </c>
      <c r="Q18" t="s">
        <v>1</v>
      </c>
      <c r="R18" t="s">
        <v>0</v>
      </c>
      <c r="S18" t="s">
        <v>2</v>
      </c>
      <c r="T18" t="s">
        <v>3</v>
      </c>
    </row>
    <row r="19" spans="1:61" x14ac:dyDescent="0.25">
      <c r="A19" s="58" t="s">
        <v>216</v>
      </c>
      <c r="B19" s="1">
        <v>-433.97999999999996</v>
      </c>
      <c r="E19" s="58" t="s">
        <v>221</v>
      </c>
      <c r="F19" s="1">
        <v>7410.4500000000044</v>
      </c>
      <c r="O19" s="5">
        <v>600</v>
      </c>
      <c r="P19" s="5">
        <v>20</v>
      </c>
      <c r="Q19" s="9">
        <v>3149297.4099999927</v>
      </c>
      <c r="R19" s="9">
        <v>5446809.4700000202</v>
      </c>
      <c r="S19" s="9">
        <v>2297512.0600000275</v>
      </c>
      <c r="T19" s="2">
        <v>0.42180878047126164</v>
      </c>
    </row>
    <row r="20" spans="1:61" x14ac:dyDescent="0.25">
      <c r="A20" s="58" t="s">
        <v>217</v>
      </c>
      <c r="B20" s="1">
        <v>-420.2600000000001</v>
      </c>
      <c r="E20" s="58" t="s">
        <v>76</v>
      </c>
      <c r="F20" s="1">
        <v>7492.5700000000015</v>
      </c>
    </row>
    <row r="21" spans="1:61" x14ac:dyDescent="0.25">
      <c r="A21" s="58" t="s">
        <v>218</v>
      </c>
      <c r="B21" s="1">
        <v>-397.83999999999992</v>
      </c>
      <c r="E21" s="58" t="s">
        <v>75</v>
      </c>
      <c r="F21" s="1">
        <v>7779.3299999999981</v>
      </c>
      <c r="Q21" s="9">
        <f>GETPIVOTDATA("[Measures].[COGS]",$O$18)</f>
        <v>3149297.4099999927</v>
      </c>
      <c r="R21" s="9">
        <f>GETPIVOTDATA("[Measures].[Total Revenue]",$O$18)</f>
        <v>5446809.4700000202</v>
      </c>
      <c r="S21" s="9">
        <f>GETPIVOTDATA("[Measures].[Profit Margin]",$O$18)</f>
        <v>2297512.0600000275</v>
      </c>
      <c r="T21" s="14">
        <f>GETPIVOTDATA("[Measures].[Profit Margin %]",$O$18)</f>
        <v>0.42180878047126164</v>
      </c>
    </row>
    <row r="22" spans="1:61" x14ac:dyDescent="0.25">
      <c r="A22" s="58" t="s">
        <v>219</v>
      </c>
      <c r="B22" s="1">
        <v>-374.22999999999979</v>
      </c>
      <c r="E22" s="58" t="s">
        <v>81</v>
      </c>
      <c r="F22" s="1">
        <v>8184.3200000000015</v>
      </c>
    </row>
    <row r="23" spans="1:61" x14ac:dyDescent="0.25">
      <c r="A23" s="58" t="s">
        <v>220</v>
      </c>
      <c r="B23" s="1">
        <v>-250.62000000000006</v>
      </c>
      <c r="E23" s="58" t="s">
        <v>222</v>
      </c>
      <c r="F23" s="1">
        <v>8225.8499999999931</v>
      </c>
    </row>
    <row r="24" spans="1:61" x14ac:dyDescent="0.25">
      <c r="A24" s="58" t="s">
        <v>21</v>
      </c>
      <c r="B24" s="1">
        <v>-1876.9299999999994</v>
      </c>
      <c r="AT24" s="6" t="s">
        <v>206</v>
      </c>
      <c r="AU24" s="71">
        <v>1</v>
      </c>
      <c r="AY24" t="str">
        <f>CONCATENATE(" ",,IF(AU24=1,"Top 5 Profitable Products","Quantity contributing to the Profit"))</f>
        <v xml:space="preserve"> Top 5 Profitable Products</v>
      </c>
    </row>
    <row r="25" spans="1:61" x14ac:dyDescent="0.25">
      <c r="AQ25" t="s">
        <v>102</v>
      </c>
    </row>
    <row r="26" spans="1:61" x14ac:dyDescent="0.25">
      <c r="AQ26" t="s">
        <v>6</v>
      </c>
    </row>
    <row r="27" spans="1:61" x14ac:dyDescent="0.25">
      <c r="Y27" s="70" t="s">
        <v>99</v>
      </c>
    </row>
    <row r="28" spans="1:61" x14ac:dyDescent="0.25">
      <c r="AT28" t="s">
        <v>203</v>
      </c>
    </row>
    <row r="29" spans="1:61" x14ac:dyDescent="0.25">
      <c r="A29" s="55" t="s">
        <v>83</v>
      </c>
      <c r="B29" s="55"/>
      <c r="C29" s="55"/>
      <c r="D29" s="55"/>
      <c r="E29" s="55" t="s">
        <v>84</v>
      </c>
      <c r="H29" s="55" t="s">
        <v>86</v>
      </c>
      <c r="K29" s="55" t="s">
        <v>53</v>
      </c>
      <c r="P29" s="8" t="s">
        <v>39</v>
      </c>
      <c r="Q29" t="s">
        <v>2</v>
      </c>
      <c r="S29" s="8" t="s">
        <v>39</v>
      </c>
      <c r="T29" t="s">
        <v>2</v>
      </c>
      <c r="X29" s="8" t="s">
        <v>39</v>
      </c>
      <c r="Y29" t="s">
        <v>2</v>
      </c>
      <c r="AB29" s="8" t="s">
        <v>39</v>
      </c>
      <c r="AC29" t="s">
        <v>2</v>
      </c>
      <c r="AE29" t="s">
        <v>23</v>
      </c>
      <c r="AF29" t="str">
        <f>AC29</f>
        <v>Profit Margin</v>
      </c>
      <c r="AG29" t="s">
        <v>100</v>
      </c>
      <c r="AJ29" s="8" t="s">
        <v>101</v>
      </c>
      <c r="AK29" t="s">
        <v>2</v>
      </c>
      <c r="AO29" t="s">
        <v>7</v>
      </c>
      <c r="AP29" t="s">
        <v>102</v>
      </c>
      <c r="AQ29" t="s">
        <v>6</v>
      </c>
      <c r="AT29" s="8" t="s">
        <v>204</v>
      </c>
      <c r="AU29" t="s">
        <v>2</v>
      </c>
      <c r="AV29" t="s">
        <v>207</v>
      </c>
      <c r="AY29" s="8" t="s">
        <v>204</v>
      </c>
      <c r="AZ29" t="s">
        <v>2</v>
      </c>
      <c r="BA29" t="s">
        <v>205</v>
      </c>
      <c r="BD29" s="8" t="s">
        <v>204</v>
      </c>
      <c r="BE29" t="s">
        <v>2</v>
      </c>
      <c r="BG29" s="72"/>
      <c r="BH29" s="73"/>
      <c r="BI29" s="74"/>
    </row>
    <row r="30" spans="1:61" x14ac:dyDescent="0.25">
      <c r="A30" t="str">
        <f t="shared" ref="A30:B35" si="0">IF($F$2=1,A6,A18)</f>
        <v>Full Name</v>
      </c>
      <c r="B30" t="str">
        <f t="shared" si="0"/>
        <v>Profit Margin</v>
      </c>
      <c r="E30" t="str">
        <f t="shared" ref="E30:F35" si="1">IF($F$2=1,E6,E18)</f>
        <v>Location</v>
      </c>
      <c r="F30" t="str">
        <f t="shared" si="1"/>
        <v>Profit Margin</v>
      </c>
      <c r="H30" t="str">
        <f>IF($F$3=1,A30,E30)</f>
        <v>Location</v>
      </c>
      <c r="I30" t="str">
        <f>IF($F$3=1,B30,F30)</f>
        <v>Profit Margin</v>
      </c>
      <c r="K30" t="str">
        <f>CONCATENATE(" ",,IF(F2=1,"Top 5 Profitable","Less 5 Profitable")," ",IF(F3=1,"Customer","Location"))</f>
        <v xml:space="preserve"> Top 5 Profitable Location</v>
      </c>
      <c r="P30" s="58" t="s">
        <v>89</v>
      </c>
      <c r="Q30" s="9">
        <v>9887.5399999999936</v>
      </c>
      <c r="S30" s="58" t="s">
        <v>94</v>
      </c>
      <c r="T30" s="32">
        <v>0.47944049398578958</v>
      </c>
      <c r="X30" s="58" t="s">
        <v>27</v>
      </c>
      <c r="Y30" s="69"/>
      <c r="AB30" s="58" t="s">
        <v>27</v>
      </c>
      <c r="AC30" s="9">
        <v>177715.38000000006</v>
      </c>
      <c r="AE30" t="str">
        <f t="shared" ref="AE30:AE41" si="2">AB30</f>
        <v>Jan</v>
      </c>
      <c r="AF30" s="9">
        <f t="shared" ref="AF30:AF41" si="3">AC30</f>
        <v>177715.38000000006</v>
      </c>
      <c r="AG30" s="9">
        <f t="shared" ref="AG30:AG41" si="4">AC30</f>
        <v>177715.38000000006</v>
      </c>
      <c r="AJ30" s="58" t="s">
        <v>55</v>
      </c>
      <c r="AK30" s="9">
        <v>19890.759999999944</v>
      </c>
      <c r="AO30" s="5">
        <v>100</v>
      </c>
      <c r="AP30" s="2">
        <v>8.2093798260586853E-2</v>
      </c>
      <c r="AQ30" s="2">
        <v>8.2200972503099171E-2</v>
      </c>
      <c r="AT30" s="58" t="s">
        <v>114</v>
      </c>
      <c r="AU30" s="9">
        <v>8434.6499999999978</v>
      </c>
      <c r="AV30" s="68">
        <f>VLOOKUP(AT30,AY29:BA129,3,0)</f>
        <v>609</v>
      </c>
      <c r="AW30" s="9"/>
      <c r="AY30" s="58" t="s">
        <v>103</v>
      </c>
      <c r="AZ30" s="9">
        <v>3168.5399999999991</v>
      </c>
      <c r="BA30" s="9">
        <v>522</v>
      </c>
      <c r="BD30" s="58" t="s">
        <v>212</v>
      </c>
      <c r="BE30" s="9">
        <v>718216.26999999932</v>
      </c>
      <c r="BG30" s="75"/>
      <c r="BH30" s="76"/>
      <c r="BI30" s="77"/>
    </row>
    <row r="31" spans="1:61" x14ac:dyDescent="0.25">
      <c r="A31" t="str">
        <f t="shared" si="0"/>
        <v>John Brown</v>
      </c>
      <c r="B31" s="1">
        <f t="shared" si="0"/>
        <v>8477.4799999999977</v>
      </c>
      <c r="E31" t="str">
        <f t="shared" si="1"/>
        <v>Washington</v>
      </c>
      <c r="F31" s="1">
        <f t="shared" si="1"/>
        <v>134907.56</v>
      </c>
      <c r="H31" t="str">
        <f t="shared" ref="H31:I35" si="5">IF($F$3=1,A31,E31)</f>
        <v>Washington</v>
      </c>
      <c r="I31" s="1">
        <f t="shared" si="5"/>
        <v>134907.56</v>
      </c>
      <c r="K31" t="str">
        <f>CONCATENATE(" ",,IF(F2=1,"Customer Overtime","Total Sales Location"))</f>
        <v xml:space="preserve"> Customer Overtime</v>
      </c>
      <c r="P31" s="58" t="s">
        <v>90</v>
      </c>
      <c r="Q31" s="9">
        <v>34365.370000000032</v>
      </c>
      <c r="S31" s="58" t="s">
        <v>95</v>
      </c>
      <c r="T31" s="32">
        <v>0.52055950601421019</v>
      </c>
      <c r="X31" s="58" t="s">
        <v>26</v>
      </c>
      <c r="Y31" s="69">
        <v>2.3177510016281769E-4</v>
      </c>
      <c r="AB31" s="58" t="s">
        <v>26</v>
      </c>
      <c r="AC31" s="9">
        <v>177756.57000000004</v>
      </c>
      <c r="AE31" t="str">
        <f t="shared" si="2"/>
        <v>Feb</v>
      </c>
      <c r="AF31" s="9">
        <f t="shared" si="3"/>
        <v>177756.57000000004</v>
      </c>
      <c r="AG31" s="9">
        <f t="shared" si="4"/>
        <v>177756.57000000004</v>
      </c>
      <c r="AJ31" s="58" t="s">
        <v>56</v>
      </c>
      <c r="AK31" s="9">
        <v>26970.45999999997</v>
      </c>
      <c r="AT31" s="58" t="s">
        <v>194</v>
      </c>
      <c r="AU31" s="9">
        <v>8215.99</v>
      </c>
      <c r="AV31" s="68">
        <f t="shared" ref="AV31:AV34" si="6">VLOOKUP(AT31,AY30:BA130,3,0)</f>
        <v>691</v>
      </c>
      <c r="AW31" s="9"/>
      <c r="AY31" s="58" t="s">
        <v>104</v>
      </c>
      <c r="AZ31" s="9">
        <v>2819.8799999999992</v>
      </c>
      <c r="BA31" s="9">
        <v>373</v>
      </c>
      <c r="BD31" s="58" t="s">
        <v>213</v>
      </c>
      <c r="BE31" s="9">
        <v>417457.830000002</v>
      </c>
      <c r="BG31" s="75"/>
      <c r="BH31" s="76"/>
      <c r="BI31" s="77"/>
    </row>
    <row r="32" spans="1:61" x14ac:dyDescent="0.25">
      <c r="A32" t="str">
        <f t="shared" si="0"/>
        <v>Paul Noble</v>
      </c>
      <c r="B32" s="1">
        <f t="shared" si="0"/>
        <v>7569.0199999999959</v>
      </c>
      <c r="E32" t="str">
        <f t="shared" si="1"/>
        <v>California</v>
      </c>
      <c r="F32" s="1">
        <f t="shared" si="1"/>
        <v>132555.79000000024</v>
      </c>
      <c r="H32" t="str">
        <f t="shared" si="5"/>
        <v>California</v>
      </c>
      <c r="I32" s="1">
        <f t="shared" si="5"/>
        <v>132555.79000000024</v>
      </c>
      <c r="K32">
        <f>IF(F3=1,GETPIVOTDATA("[Measures].[# Customers]",$O$18),GETPIVOTDATA("[Measures].[# Locations]",$O$18))</f>
        <v>20</v>
      </c>
      <c r="P32" s="58" t="s">
        <v>91</v>
      </c>
      <c r="Q32" s="9">
        <v>33697.039999999979</v>
      </c>
      <c r="X32" s="58" t="s">
        <v>30</v>
      </c>
      <c r="Y32" s="69">
        <v>0.1505390208643167</v>
      </c>
      <c r="AB32" s="58" t="s">
        <v>30</v>
      </c>
      <c r="AC32" s="9">
        <v>204515.86999999941</v>
      </c>
      <c r="AE32" t="str">
        <f t="shared" si="2"/>
        <v>Mar</v>
      </c>
      <c r="AF32" s="9">
        <f t="shared" si="3"/>
        <v>204515.86999999941</v>
      </c>
      <c r="AG32" s="9">
        <f t="shared" si="4"/>
        <v>204515.86999999941</v>
      </c>
      <c r="AJ32" s="58" t="s">
        <v>57</v>
      </c>
      <c r="AK32" s="9">
        <v>22833.169999999991</v>
      </c>
      <c r="AO32">
        <f>GETPIVOTDATA("[Measures].[# Products]",$AO$29)</f>
        <v>100</v>
      </c>
      <c r="AP32" s="2">
        <f>GETPIVOTDATA("[Measures].[Return Rate]",$AO$29)</f>
        <v>8.2093798260586853E-2</v>
      </c>
      <c r="AQ32" s="2">
        <f>GETPIVOTDATA("[Measures].[Refund Rate]",$AO$29)</f>
        <v>8.2200972503099171E-2</v>
      </c>
      <c r="AT32" s="58" t="s">
        <v>121</v>
      </c>
      <c r="AU32" s="9">
        <v>7339.41</v>
      </c>
      <c r="AV32" s="68">
        <f t="shared" si="6"/>
        <v>533</v>
      </c>
      <c r="AW32" s="9"/>
      <c r="AY32" s="58" t="s">
        <v>105</v>
      </c>
      <c r="AZ32" s="9">
        <v>3776.22</v>
      </c>
      <c r="BA32" s="9">
        <v>486</v>
      </c>
      <c r="BD32" s="58" t="s">
        <v>214</v>
      </c>
      <c r="BE32" s="9">
        <v>367414.25000000041</v>
      </c>
      <c r="BG32" s="75"/>
      <c r="BH32" s="76"/>
      <c r="BI32" s="77"/>
    </row>
    <row r="33" spans="1:61" x14ac:dyDescent="0.25">
      <c r="A33" t="str">
        <f t="shared" si="0"/>
        <v>Laura Gross</v>
      </c>
      <c r="B33" s="1">
        <f t="shared" si="0"/>
        <v>7236.9200000000019</v>
      </c>
      <c r="E33" t="str">
        <f t="shared" si="1"/>
        <v>Michigan</v>
      </c>
      <c r="F33" s="1">
        <f t="shared" si="1"/>
        <v>132061.01999999973</v>
      </c>
      <c r="H33" t="str">
        <f t="shared" si="5"/>
        <v>Michigan</v>
      </c>
      <c r="I33" s="1">
        <f t="shared" si="5"/>
        <v>132061.01999999973</v>
      </c>
      <c r="P33" s="58" t="s">
        <v>92</v>
      </c>
      <c r="Q33" s="9">
        <v>39423.830000000031</v>
      </c>
      <c r="X33" s="58" t="s">
        <v>24</v>
      </c>
      <c r="Y33" s="69">
        <v>-5.6420218147370485E-2</v>
      </c>
      <c r="AB33" s="58" t="s">
        <v>24</v>
      </c>
      <c r="AC33" s="9">
        <v>192977.04000000018</v>
      </c>
      <c r="AE33" t="str">
        <f t="shared" si="2"/>
        <v>Apr</v>
      </c>
      <c r="AF33" s="9">
        <f t="shared" si="3"/>
        <v>192977.04000000018</v>
      </c>
      <c r="AG33" s="9">
        <f t="shared" si="4"/>
        <v>192977.04000000018</v>
      </c>
      <c r="AJ33" s="58" t="s">
        <v>58</v>
      </c>
      <c r="AK33" s="9">
        <v>31225.71</v>
      </c>
      <c r="AT33" s="58" t="s">
        <v>178</v>
      </c>
      <c r="AU33" s="9">
        <v>6940.9600000000009</v>
      </c>
      <c r="AV33" s="68">
        <f t="shared" si="6"/>
        <v>568</v>
      </c>
      <c r="AW33" s="9"/>
      <c r="AY33" s="58" t="s">
        <v>106</v>
      </c>
      <c r="AZ33" s="9">
        <v>2723.1000000000004</v>
      </c>
      <c r="BA33" s="9">
        <v>290</v>
      </c>
      <c r="BD33" s="58" t="s">
        <v>215</v>
      </c>
      <c r="BE33" s="9">
        <v>339210.4900000029</v>
      </c>
      <c r="BG33" s="75"/>
      <c r="BH33" s="76"/>
      <c r="BI33" s="77"/>
    </row>
    <row r="34" spans="1:61" x14ac:dyDescent="0.25">
      <c r="A34" t="str">
        <f t="shared" si="0"/>
        <v>Judith Simmons</v>
      </c>
      <c r="B34" s="1">
        <f t="shared" si="0"/>
        <v>7191.9699999999975</v>
      </c>
      <c r="E34" t="str">
        <f t="shared" si="1"/>
        <v>Virginia</v>
      </c>
      <c r="F34" s="1">
        <f t="shared" si="1"/>
        <v>131335.97000000015</v>
      </c>
      <c r="H34" t="str">
        <f t="shared" si="5"/>
        <v>Virginia</v>
      </c>
      <c r="I34" s="1">
        <f t="shared" si="5"/>
        <v>131335.97000000015</v>
      </c>
      <c r="P34" s="58" t="s">
        <v>93</v>
      </c>
      <c r="Q34" s="9">
        <v>72711.039999999921</v>
      </c>
      <c r="X34" s="58" t="s">
        <v>31</v>
      </c>
      <c r="Y34" s="69">
        <v>6.5633766586948014E-2</v>
      </c>
      <c r="AB34" s="58" t="s">
        <v>31</v>
      </c>
      <c r="AC34" s="9">
        <v>205642.85000000033</v>
      </c>
      <c r="AE34" t="str">
        <f t="shared" si="2"/>
        <v>May</v>
      </c>
      <c r="AF34" s="9">
        <f t="shared" si="3"/>
        <v>205642.85000000033</v>
      </c>
      <c r="AG34" s="9">
        <f t="shared" si="4"/>
        <v>205642.85000000033</v>
      </c>
      <c r="AJ34" s="58" t="s">
        <v>59</v>
      </c>
      <c r="AK34" s="9">
        <v>25038.409999999996</v>
      </c>
      <c r="AT34" s="58" t="s">
        <v>151</v>
      </c>
      <c r="AU34" s="9">
        <v>6671.8200000000006</v>
      </c>
      <c r="AV34" s="68">
        <f t="shared" si="6"/>
        <v>633</v>
      </c>
      <c r="AW34" s="9"/>
      <c r="AY34" s="58" t="s">
        <v>107</v>
      </c>
      <c r="AZ34" s="9">
        <v>358.72000000000025</v>
      </c>
      <c r="BA34" s="9">
        <v>608</v>
      </c>
      <c r="BD34" s="58" t="s">
        <v>210</v>
      </c>
      <c r="BE34" s="9">
        <v>174072.76000000042</v>
      </c>
      <c r="BG34" s="75"/>
      <c r="BH34" s="76"/>
      <c r="BI34" s="77"/>
    </row>
    <row r="35" spans="1:61" x14ac:dyDescent="0.25">
      <c r="A35" t="str">
        <f t="shared" si="0"/>
        <v>Kristine Barrett</v>
      </c>
      <c r="B35" s="1">
        <f t="shared" si="0"/>
        <v>6966.5800000000008</v>
      </c>
      <c r="E35" t="str">
        <f t="shared" si="1"/>
        <v>Missouri</v>
      </c>
      <c r="F35" s="1">
        <f t="shared" si="1"/>
        <v>128176.22000000032</v>
      </c>
      <c r="H35" t="str">
        <f t="shared" si="5"/>
        <v>Missouri</v>
      </c>
      <c r="I35" s="1">
        <f t="shared" si="5"/>
        <v>128176.22000000032</v>
      </c>
      <c r="P35" s="58" t="s">
        <v>21</v>
      </c>
      <c r="Q35" s="4">
        <v>190084.82000000018</v>
      </c>
      <c r="X35" s="58" t="s">
        <v>29</v>
      </c>
      <c r="Y35" s="69">
        <v>-4.9371519603039399E-2</v>
      </c>
      <c r="AB35" s="58" t="s">
        <v>29</v>
      </c>
      <c r="AC35" s="9">
        <v>195489.95000000042</v>
      </c>
      <c r="AE35" t="str">
        <f t="shared" si="2"/>
        <v>Jun</v>
      </c>
      <c r="AF35" s="9">
        <f t="shared" si="3"/>
        <v>195489.95000000042</v>
      </c>
      <c r="AG35" s="9">
        <f t="shared" si="4"/>
        <v>195489.95000000042</v>
      </c>
      <c r="AJ35" s="58" t="s">
        <v>60</v>
      </c>
      <c r="AK35" s="9">
        <v>29511.910000000003</v>
      </c>
      <c r="AT35" s="58" t="s">
        <v>21</v>
      </c>
      <c r="AU35" s="9">
        <v>37602.83</v>
      </c>
      <c r="AV35" s="68"/>
      <c r="AW35" s="9"/>
      <c r="AY35" s="58" t="s">
        <v>108</v>
      </c>
      <c r="AZ35" s="9">
        <v>2141.3699999999994</v>
      </c>
      <c r="BA35" s="9">
        <v>721</v>
      </c>
      <c r="BD35" s="58" t="s">
        <v>209</v>
      </c>
      <c r="BE35" s="9">
        <v>142236.05999999901</v>
      </c>
      <c r="BG35" s="75"/>
      <c r="BH35" s="76"/>
      <c r="BI35" s="77"/>
    </row>
    <row r="36" spans="1:61" x14ac:dyDescent="0.25">
      <c r="X36" s="58" t="s">
        <v>28</v>
      </c>
      <c r="Y36" s="69">
        <v>-6.5234862457123372E-2</v>
      </c>
      <c r="AB36" s="58" t="s">
        <v>28</v>
      </c>
      <c r="AC36" s="9">
        <v>182737.19000000047</v>
      </c>
      <c r="AE36" t="str">
        <f t="shared" si="2"/>
        <v>Jul</v>
      </c>
      <c r="AF36" s="9">
        <f t="shared" si="3"/>
        <v>182737.19000000047</v>
      </c>
      <c r="AG36" s="9">
        <f t="shared" si="4"/>
        <v>182737.19000000047</v>
      </c>
      <c r="AJ36" s="58" t="s">
        <v>61</v>
      </c>
      <c r="AK36" s="9">
        <v>34614.400000000009</v>
      </c>
      <c r="AY36" s="58" t="s">
        <v>109</v>
      </c>
      <c r="AZ36" s="9">
        <v>5277.1399999999994</v>
      </c>
      <c r="BA36" s="9">
        <v>578</v>
      </c>
      <c r="BD36" s="58" t="s">
        <v>208</v>
      </c>
      <c r="BE36" s="9">
        <v>86449.160000000033</v>
      </c>
      <c r="BG36" s="75"/>
      <c r="BH36" s="76"/>
      <c r="BI36" s="77"/>
    </row>
    <row r="37" spans="1:61" x14ac:dyDescent="0.25">
      <c r="X37" s="58" t="s">
        <v>38</v>
      </c>
      <c r="Y37" s="69">
        <v>0.14152658251995559</v>
      </c>
      <c r="AB37" s="58" t="s">
        <v>38</v>
      </c>
      <c r="AC37" s="9">
        <v>208599.36000000034</v>
      </c>
      <c r="AE37" t="str">
        <f t="shared" si="2"/>
        <v>Aug</v>
      </c>
      <c r="AF37" s="9">
        <f t="shared" si="3"/>
        <v>208599.36000000034</v>
      </c>
      <c r="AG37" s="9">
        <f t="shared" si="4"/>
        <v>208599.36000000034</v>
      </c>
      <c r="AY37" s="58" t="s">
        <v>110</v>
      </c>
      <c r="AZ37" s="9">
        <v>999.75000000000091</v>
      </c>
      <c r="BA37" s="9">
        <v>465</v>
      </c>
      <c r="BD37" s="58" t="s">
        <v>211</v>
      </c>
      <c r="BE37" s="9">
        <v>52455.239999999467</v>
      </c>
      <c r="BG37" s="75"/>
      <c r="BH37" s="76"/>
      <c r="BI37" s="77"/>
    </row>
    <row r="38" spans="1:61" x14ac:dyDescent="0.25">
      <c r="X38" s="58" t="s">
        <v>34</v>
      </c>
      <c r="Y38" s="69">
        <v>-8.8756456395647235E-2</v>
      </c>
      <c r="AB38" s="58" t="s">
        <v>34</v>
      </c>
      <c r="AC38" s="9">
        <v>190084.82000000039</v>
      </c>
      <c r="AE38" t="str">
        <f t="shared" si="2"/>
        <v>Sep</v>
      </c>
      <c r="AF38" s="9">
        <f t="shared" si="3"/>
        <v>190084.82000000039</v>
      </c>
      <c r="AG38" s="9">
        <f t="shared" si="4"/>
        <v>190084.82000000039</v>
      </c>
      <c r="AT38" s="55" t="str">
        <f>AT29</f>
        <v>Products</v>
      </c>
      <c r="AU38" s="55" t="str">
        <f>IF($AU$24=1,AU29:AU29,AV29)</f>
        <v>Profit Margin</v>
      </c>
      <c r="AY38" s="58" t="s">
        <v>111</v>
      </c>
      <c r="AZ38" s="9">
        <v>5487.8</v>
      </c>
      <c r="BA38" s="9">
        <v>460</v>
      </c>
      <c r="BD38" s="58" t="s">
        <v>21</v>
      </c>
      <c r="BE38" s="9">
        <v>2297512.0600000275</v>
      </c>
      <c r="BG38" s="75"/>
      <c r="BH38" s="76"/>
      <c r="BI38" s="77"/>
    </row>
    <row r="39" spans="1:61" x14ac:dyDescent="0.25">
      <c r="X39" s="58" t="s">
        <v>33</v>
      </c>
      <c r="Y39" s="69">
        <v>1.5750863219866535E-3</v>
      </c>
      <c r="AB39" s="58" t="s">
        <v>33</v>
      </c>
      <c r="AC39" s="9">
        <v>190384.21999999968</v>
      </c>
      <c r="AE39" t="str">
        <f t="shared" si="2"/>
        <v>Oct</v>
      </c>
      <c r="AF39" s="9">
        <f t="shared" si="3"/>
        <v>190384.21999999968</v>
      </c>
      <c r="AG39" s="9">
        <f t="shared" si="4"/>
        <v>190384.21999999968</v>
      </c>
      <c r="AT39" t="str">
        <f t="shared" ref="AT39:AT43" si="7">AT30</f>
        <v>Begin Brew</v>
      </c>
      <c r="AU39" s="9">
        <f t="shared" ref="AU39:AU43" si="8">IF($AU$24=1,AU30:AU30,AV30)</f>
        <v>8434.6499999999978</v>
      </c>
      <c r="AY39" s="58" t="s">
        <v>112</v>
      </c>
      <c r="AZ39" s="9">
        <v>276.31999999999971</v>
      </c>
      <c r="BA39" s="9">
        <v>628</v>
      </c>
      <c r="BG39" s="75"/>
      <c r="BH39" s="76"/>
      <c r="BI39" s="77"/>
    </row>
    <row r="40" spans="1:61" x14ac:dyDescent="0.25">
      <c r="X40" s="58" t="s">
        <v>32</v>
      </c>
      <c r="Y40" s="69">
        <v>9.8171476606608472E-3</v>
      </c>
      <c r="AB40" s="58" t="s">
        <v>32</v>
      </c>
      <c r="AC40" s="9">
        <v>192253.24999999942</v>
      </c>
      <c r="AE40" t="str">
        <f t="shared" si="2"/>
        <v>Nov</v>
      </c>
      <c r="AF40" s="9">
        <f t="shared" si="3"/>
        <v>192253.24999999942</v>
      </c>
      <c r="AG40" s="9">
        <f t="shared" si="4"/>
        <v>192253.24999999942</v>
      </c>
      <c r="AT40" t="str">
        <f t="shared" si="7"/>
        <v>Two Breeze</v>
      </c>
      <c r="AU40" s="9">
        <f t="shared" si="8"/>
        <v>8215.99</v>
      </c>
      <c r="AY40" s="58" t="s">
        <v>113</v>
      </c>
      <c r="AZ40" s="9">
        <v>-994.52000000000044</v>
      </c>
      <c r="BA40" s="9">
        <v>529</v>
      </c>
      <c r="BG40" s="75"/>
      <c r="BH40" s="76"/>
      <c r="BI40" s="77"/>
    </row>
    <row r="41" spans="1:61" x14ac:dyDescent="0.25">
      <c r="X41" s="58" t="s">
        <v>25</v>
      </c>
      <c r="Y41" s="69">
        <v>-6.7086980324126341E-2</v>
      </c>
      <c r="AB41" s="58" t="s">
        <v>25</v>
      </c>
      <c r="AC41" s="9">
        <v>179355.56000000011</v>
      </c>
      <c r="AE41" t="str">
        <f t="shared" si="2"/>
        <v>Dec</v>
      </c>
      <c r="AF41" s="9">
        <f t="shared" si="3"/>
        <v>179355.56000000011</v>
      </c>
      <c r="AG41" s="9">
        <f t="shared" si="4"/>
        <v>179355.56000000011</v>
      </c>
      <c r="AT41" t="str">
        <f t="shared" si="7"/>
        <v>Common Splash</v>
      </c>
      <c r="AU41" s="9">
        <f t="shared" si="8"/>
        <v>7339.41</v>
      </c>
      <c r="AY41" s="58" t="s">
        <v>114</v>
      </c>
      <c r="AZ41" s="9">
        <v>8434.6499999999978</v>
      </c>
      <c r="BA41" s="9">
        <v>609</v>
      </c>
      <c r="BG41" s="75"/>
      <c r="BH41" s="76"/>
      <c r="BI41" s="77"/>
    </row>
    <row r="42" spans="1:61" x14ac:dyDescent="0.25">
      <c r="AT42" t="str">
        <f t="shared" si="7"/>
        <v>Return Mist</v>
      </c>
      <c r="AU42" s="9">
        <f t="shared" si="8"/>
        <v>6940.9600000000009</v>
      </c>
      <c r="AY42" s="58" t="s">
        <v>115</v>
      </c>
      <c r="AZ42" s="9">
        <v>3202.3499999999985</v>
      </c>
      <c r="BA42" s="9">
        <v>555</v>
      </c>
      <c r="BG42" s="75"/>
      <c r="BH42" s="76"/>
      <c r="BI42" s="77"/>
    </row>
    <row r="43" spans="1:61" x14ac:dyDescent="0.25">
      <c r="AT43" t="str">
        <f t="shared" si="7"/>
        <v>Method Mist</v>
      </c>
      <c r="AU43" s="9">
        <f t="shared" si="8"/>
        <v>6671.8200000000006</v>
      </c>
      <c r="AY43" s="58" t="s">
        <v>116</v>
      </c>
      <c r="AZ43" s="9">
        <v>3775.6800000000007</v>
      </c>
      <c r="BA43" s="9">
        <v>456</v>
      </c>
      <c r="BG43" s="75"/>
      <c r="BH43" s="76"/>
      <c r="BI43" s="77"/>
    </row>
    <row r="44" spans="1:61" x14ac:dyDescent="0.25">
      <c r="AY44" s="58" t="s">
        <v>117</v>
      </c>
      <c r="AZ44" s="9">
        <v>-2960.1</v>
      </c>
      <c r="BA44" s="9">
        <v>690</v>
      </c>
      <c r="BG44" s="75"/>
      <c r="BH44" s="76"/>
      <c r="BI44" s="77"/>
    </row>
    <row r="45" spans="1:61" x14ac:dyDescent="0.25">
      <c r="AY45" s="58" t="s">
        <v>118</v>
      </c>
      <c r="AZ45" s="9">
        <v>3860.8199999999983</v>
      </c>
      <c r="BA45" s="9">
        <v>482</v>
      </c>
      <c r="BG45" s="75"/>
      <c r="BH45" s="76"/>
      <c r="BI45" s="77"/>
    </row>
    <row r="46" spans="1:61" x14ac:dyDescent="0.25">
      <c r="AY46" s="58" t="s">
        <v>119</v>
      </c>
      <c r="AZ46" s="9">
        <v>-809.39999999999986</v>
      </c>
      <c r="BA46" s="9">
        <v>570</v>
      </c>
      <c r="BG46" s="78"/>
      <c r="BH46" s="79"/>
      <c r="BI46" s="80"/>
    </row>
    <row r="47" spans="1:61" x14ac:dyDescent="0.25">
      <c r="AY47" s="58" t="s">
        <v>120</v>
      </c>
      <c r="AZ47" s="9">
        <v>-178.3599999999999</v>
      </c>
      <c r="BA47" s="9">
        <v>364</v>
      </c>
    </row>
    <row r="48" spans="1:61" x14ac:dyDescent="0.25">
      <c r="AY48" s="58" t="s">
        <v>121</v>
      </c>
      <c r="AZ48" s="9">
        <v>7339.41</v>
      </c>
      <c r="BA48" s="9">
        <v>533</v>
      </c>
    </row>
    <row r="49" spans="51:53" x14ac:dyDescent="0.25">
      <c r="AY49" s="58" t="s">
        <v>122</v>
      </c>
      <c r="AZ49" s="9">
        <v>789.60000000000036</v>
      </c>
      <c r="BA49" s="9">
        <v>840</v>
      </c>
    </row>
    <row r="50" spans="51:53" x14ac:dyDescent="0.25">
      <c r="AY50" s="58" t="s">
        <v>123</v>
      </c>
      <c r="AZ50" s="9">
        <v>-887.86000000000013</v>
      </c>
      <c r="BA50" s="9">
        <v>431</v>
      </c>
    </row>
    <row r="51" spans="51:53" x14ac:dyDescent="0.25">
      <c r="AY51" s="58" t="s">
        <v>124</v>
      </c>
      <c r="AZ51" s="9">
        <v>2037.699999999998</v>
      </c>
      <c r="BA51" s="9">
        <v>710</v>
      </c>
    </row>
    <row r="52" spans="51:53" x14ac:dyDescent="0.25">
      <c r="AY52" s="58" t="s">
        <v>125</v>
      </c>
      <c r="AZ52" s="9">
        <v>2023.5000000000002</v>
      </c>
      <c r="BA52" s="9">
        <v>355</v>
      </c>
    </row>
    <row r="53" spans="51:53" x14ac:dyDescent="0.25">
      <c r="AY53" s="58" t="s">
        <v>126</v>
      </c>
      <c r="AZ53" s="9">
        <v>853.44</v>
      </c>
      <c r="BA53" s="9">
        <v>381</v>
      </c>
    </row>
    <row r="54" spans="51:53" x14ac:dyDescent="0.25">
      <c r="AY54" s="58" t="s">
        <v>127</v>
      </c>
      <c r="AZ54" s="9">
        <v>2869.0199999999995</v>
      </c>
      <c r="BA54" s="9">
        <v>483</v>
      </c>
    </row>
    <row r="55" spans="51:53" x14ac:dyDescent="0.25">
      <c r="AY55" s="58" t="s">
        <v>128</v>
      </c>
      <c r="AZ55" s="9">
        <v>1929.62</v>
      </c>
      <c r="BA55" s="9">
        <v>358</v>
      </c>
    </row>
    <row r="56" spans="51:53" x14ac:dyDescent="0.25">
      <c r="AY56" s="58" t="s">
        <v>129</v>
      </c>
      <c r="AZ56" s="9">
        <v>-134.97999999999979</v>
      </c>
      <c r="BA56" s="9">
        <v>397</v>
      </c>
    </row>
    <row r="57" spans="51:53" x14ac:dyDescent="0.25">
      <c r="AY57" s="58" t="s">
        <v>130</v>
      </c>
      <c r="AZ57" s="9">
        <v>5884.12</v>
      </c>
      <c r="BA57" s="9">
        <v>473</v>
      </c>
    </row>
    <row r="58" spans="51:53" x14ac:dyDescent="0.25">
      <c r="AY58" s="58" t="s">
        <v>131</v>
      </c>
      <c r="AZ58" s="9">
        <v>1198.26</v>
      </c>
      <c r="BA58" s="9">
        <v>189</v>
      </c>
    </row>
    <row r="59" spans="51:53" x14ac:dyDescent="0.25">
      <c r="AY59" s="58" t="s">
        <v>132</v>
      </c>
      <c r="AZ59" s="9">
        <v>4686.090000000002</v>
      </c>
      <c r="BA59" s="9">
        <v>543</v>
      </c>
    </row>
    <row r="60" spans="51:53" x14ac:dyDescent="0.25">
      <c r="AY60" s="58" t="s">
        <v>133</v>
      </c>
      <c r="AZ60" s="9">
        <v>3264.2400000000002</v>
      </c>
      <c r="BA60" s="9">
        <v>469</v>
      </c>
    </row>
    <row r="61" spans="51:53" x14ac:dyDescent="0.25">
      <c r="AY61" s="58" t="s">
        <v>134</v>
      </c>
      <c r="AZ61" s="9">
        <v>1030.8200000000002</v>
      </c>
      <c r="BA61" s="9">
        <v>398</v>
      </c>
    </row>
    <row r="62" spans="51:53" x14ac:dyDescent="0.25">
      <c r="AY62" s="58" t="s">
        <v>135</v>
      </c>
      <c r="AZ62" s="9">
        <v>229.79999999999927</v>
      </c>
      <c r="BA62" s="9">
        <v>766</v>
      </c>
    </row>
    <row r="63" spans="51:53" x14ac:dyDescent="0.25">
      <c r="AY63" s="58" t="s">
        <v>136</v>
      </c>
      <c r="AZ63" s="9">
        <v>1425.4500000000003</v>
      </c>
      <c r="BA63" s="9">
        <v>559</v>
      </c>
    </row>
    <row r="64" spans="51:53" x14ac:dyDescent="0.25">
      <c r="AY64" s="58" t="s">
        <v>137</v>
      </c>
      <c r="AZ64" s="9">
        <v>1548.8200000000011</v>
      </c>
      <c r="BA64" s="9">
        <v>598</v>
      </c>
    </row>
    <row r="65" spans="51:53" x14ac:dyDescent="0.25">
      <c r="AY65" s="58" t="s">
        <v>138</v>
      </c>
      <c r="AZ65" s="9">
        <v>3448.9200000000005</v>
      </c>
      <c r="BA65" s="9">
        <v>492</v>
      </c>
    </row>
    <row r="66" spans="51:53" x14ac:dyDescent="0.25">
      <c r="AY66" s="58" t="s">
        <v>139</v>
      </c>
      <c r="AZ66" s="9">
        <v>967.20000000000027</v>
      </c>
      <c r="BA66" s="9">
        <v>620</v>
      </c>
    </row>
    <row r="67" spans="51:53" x14ac:dyDescent="0.25">
      <c r="AY67" s="58" t="s">
        <v>140</v>
      </c>
      <c r="AZ67" s="9">
        <v>2613.9599999999991</v>
      </c>
      <c r="BA67" s="9">
        <v>548</v>
      </c>
    </row>
    <row r="68" spans="51:53" x14ac:dyDescent="0.25">
      <c r="AY68" s="58" t="s">
        <v>141</v>
      </c>
      <c r="AZ68" s="9">
        <v>-110.15999999999985</v>
      </c>
      <c r="BA68" s="9">
        <v>408</v>
      </c>
    </row>
    <row r="69" spans="51:53" x14ac:dyDescent="0.25">
      <c r="AY69" s="58" t="s">
        <v>142</v>
      </c>
      <c r="AZ69" s="9">
        <v>-1488.2400000000002</v>
      </c>
      <c r="BA69" s="9">
        <v>424</v>
      </c>
    </row>
    <row r="70" spans="51:53" x14ac:dyDescent="0.25">
      <c r="AY70" s="58" t="s">
        <v>143</v>
      </c>
      <c r="AZ70" s="9">
        <v>529.62</v>
      </c>
      <c r="BA70" s="9">
        <v>582</v>
      </c>
    </row>
    <row r="71" spans="51:53" x14ac:dyDescent="0.25">
      <c r="AY71" s="58" t="s">
        <v>144</v>
      </c>
      <c r="AZ71" s="9">
        <v>-899.38</v>
      </c>
      <c r="BA71" s="9">
        <v>386</v>
      </c>
    </row>
    <row r="72" spans="51:53" x14ac:dyDescent="0.25">
      <c r="AY72" s="58" t="s">
        <v>145</v>
      </c>
      <c r="AZ72" s="9">
        <v>-983.4300000000012</v>
      </c>
      <c r="BA72" s="9">
        <v>669</v>
      </c>
    </row>
    <row r="73" spans="51:53" x14ac:dyDescent="0.25">
      <c r="AY73" s="58" t="s">
        <v>146</v>
      </c>
      <c r="AZ73" s="9">
        <v>1452.4800000000009</v>
      </c>
      <c r="BA73" s="9">
        <v>408</v>
      </c>
    </row>
    <row r="74" spans="51:53" x14ac:dyDescent="0.25">
      <c r="AY74" s="58" t="s">
        <v>147</v>
      </c>
      <c r="AZ74" s="9">
        <v>636.11999999999989</v>
      </c>
      <c r="BA74" s="9">
        <v>279</v>
      </c>
    </row>
    <row r="75" spans="51:53" x14ac:dyDescent="0.25">
      <c r="AY75" s="58" t="s">
        <v>148</v>
      </c>
      <c r="AZ75" s="9">
        <v>1004.9600000000019</v>
      </c>
      <c r="BA75" s="9">
        <v>571</v>
      </c>
    </row>
    <row r="76" spans="51:53" x14ac:dyDescent="0.25">
      <c r="AY76" s="58" t="s">
        <v>149</v>
      </c>
      <c r="AZ76" s="9">
        <v>894.85999999999967</v>
      </c>
      <c r="BA76" s="9">
        <v>443</v>
      </c>
    </row>
    <row r="77" spans="51:53" x14ac:dyDescent="0.25">
      <c r="AY77" s="58" t="s">
        <v>150</v>
      </c>
      <c r="AZ77" s="9">
        <v>171.07999999999993</v>
      </c>
      <c r="BA77" s="9">
        <v>364</v>
      </c>
    </row>
    <row r="78" spans="51:53" x14ac:dyDescent="0.25">
      <c r="AY78" s="58" t="s">
        <v>151</v>
      </c>
      <c r="AZ78" s="9">
        <v>6671.8200000000006</v>
      </c>
      <c r="BA78" s="9">
        <v>633</v>
      </c>
    </row>
    <row r="79" spans="51:53" x14ac:dyDescent="0.25">
      <c r="AY79" s="58" t="s">
        <v>152</v>
      </c>
      <c r="AZ79" s="9">
        <v>3363.36</v>
      </c>
      <c r="BA79" s="9">
        <v>429</v>
      </c>
    </row>
    <row r="80" spans="51:53" x14ac:dyDescent="0.25">
      <c r="AY80" s="58" t="s">
        <v>153</v>
      </c>
      <c r="AZ80" s="9">
        <v>1536.1499999999996</v>
      </c>
      <c r="BA80" s="9">
        <v>285</v>
      </c>
    </row>
    <row r="81" spans="51:53" x14ac:dyDescent="0.25">
      <c r="AY81" s="58" t="s">
        <v>154</v>
      </c>
      <c r="AZ81" s="9">
        <v>-59.4699999999998</v>
      </c>
      <c r="BA81" s="9">
        <v>313</v>
      </c>
    </row>
    <row r="82" spans="51:53" x14ac:dyDescent="0.25">
      <c r="AY82" s="58" t="s">
        <v>155</v>
      </c>
      <c r="AZ82" s="9">
        <v>2079.0399999999995</v>
      </c>
      <c r="BA82" s="9">
        <v>356</v>
      </c>
    </row>
    <row r="83" spans="51:53" x14ac:dyDescent="0.25">
      <c r="AY83" s="58" t="s">
        <v>156</v>
      </c>
      <c r="AZ83" s="9">
        <v>-1302.4000000000001</v>
      </c>
      <c r="BA83" s="9">
        <v>407</v>
      </c>
    </row>
    <row r="84" spans="51:53" x14ac:dyDescent="0.25">
      <c r="AY84" s="58" t="s">
        <v>157</v>
      </c>
      <c r="AZ84" s="9">
        <v>2446.0800000000004</v>
      </c>
      <c r="BA84" s="9">
        <v>336</v>
      </c>
    </row>
    <row r="85" spans="51:53" x14ac:dyDescent="0.25">
      <c r="AY85" s="58" t="s">
        <v>158</v>
      </c>
      <c r="AZ85" s="9">
        <v>930.25999999999885</v>
      </c>
      <c r="BA85" s="9">
        <v>386</v>
      </c>
    </row>
    <row r="86" spans="51:53" x14ac:dyDescent="0.25">
      <c r="AY86" s="58" t="s">
        <v>159</v>
      </c>
      <c r="AZ86" s="9">
        <v>2185</v>
      </c>
      <c r="BA86" s="9">
        <v>575</v>
      </c>
    </row>
    <row r="87" spans="51:53" x14ac:dyDescent="0.25">
      <c r="AY87" s="58" t="s">
        <v>160</v>
      </c>
      <c r="AZ87" s="9">
        <v>533.75999999999954</v>
      </c>
      <c r="BA87" s="9">
        <v>417</v>
      </c>
    </row>
    <row r="88" spans="51:53" x14ac:dyDescent="0.25">
      <c r="AY88" s="58" t="s">
        <v>161</v>
      </c>
      <c r="AZ88" s="9">
        <v>5213.6000000000004</v>
      </c>
      <c r="BA88" s="9">
        <v>392</v>
      </c>
    </row>
    <row r="89" spans="51:53" x14ac:dyDescent="0.25">
      <c r="AY89" s="58" t="s">
        <v>162</v>
      </c>
      <c r="AZ89" s="9">
        <v>2782.4999999999995</v>
      </c>
      <c r="BA89" s="9">
        <v>375</v>
      </c>
    </row>
    <row r="90" spans="51:53" x14ac:dyDescent="0.25">
      <c r="AY90" s="58" t="s">
        <v>163</v>
      </c>
      <c r="AZ90" s="9">
        <v>930</v>
      </c>
      <c r="BA90" s="9">
        <v>465</v>
      </c>
    </row>
    <row r="91" spans="51:53" x14ac:dyDescent="0.25">
      <c r="AY91" s="58" t="s">
        <v>164</v>
      </c>
      <c r="AZ91" s="9">
        <v>1660.2600000000002</v>
      </c>
      <c r="BA91" s="9">
        <v>354</v>
      </c>
    </row>
    <row r="92" spans="51:53" x14ac:dyDescent="0.25">
      <c r="AY92" s="58" t="s">
        <v>165</v>
      </c>
      <c r="AZ92" s="9">
        <v>1168.2000000000003</v>
      </c>
      <c r="BA92" s="9">
        <v>708</v>
      </c>
    </row>
    <row r="93" spans="51:53" x14ac:dyDescent="0.25">
      <c r="AY93" s="58" t="s">
        <v>166</v>
      </c>
      <c r="AZ93" s="9">
        <v>3797.8600000000006</v>
      </c>
      <c r="BA93" s="9">
        <v>566</v>
      </c>
    </row>
    <row r="94" spans="51:53" x14ac:dyDescent="0.25">
      <c r="AY94" s="58" t="s">
        <v>167</v>
      </c>
      <c r="AZ94" s="9">
        <v>-480.80999999999995</v>
      </c>
      <c r="BA94" s="9">
        <v>341</v>
      </c>
    </row>
    <row r="95" spans="51:53" x14ac:dyDescent="0.25">
      <c r="AY95" s="58" t="s">
        <v>168</v>
      </c>
      <c r="AZ95" s="9">
        <v>1734.8899999999996</v>
      </c>
      <c r="BA95" s="9">
        <v>397</v>
      </c>
    </row>
    <row r="96" spans="51:53" x14ac:dyDescent="0.25">
      <c r="AY96" s="58" t="s">
        <v>169</v>
      </c>
      <c r="AZ96" s="9">
        <v>2756.5199999999991</v>
      </c>
      <c r="BA96" s="9">
        <v>684</v>
      </c>
    </row>
    <row r="97" spans="51:53" x14ac:dyDescent="0.25">
      <c r="AY97" s="58" t="s">
        <v>170</v>
      </c>
      <c r="AZ97" s="9">
        <v>1873.4499999999996</v>
      </c>
      <c r="BA97" s="9">
        <v>421</v>
      </c>
    </row>
    <row r="98" spans="51:53" x14ac:dyDescent="0.25">
      <c r="AY98" s="58" t="s">
        <v>171</v>
      </c>
      <c r="AZ98" s="9">
        <v>351.11999999999989</v>
      </c>
      <c r="BA98" s="9">
        <v>462</v>
      </c>
    </row>
    <row r="99" spans="51:53" x14ac:dyDescent="0.25">
      <c r="AY99" s="58" t="s">
        <v>172</v>
      </c>
      <c r="AZ99" s="9">
        <v>-981</v>
      </c>
      <c r="BA99" s="9">
        <v>450</v>
      </c>
    </row>
    <row r="100" spans="51:53" x14ac:dyDescent="0.25">
      <c r="AY100" s="58" t="s">
        <v>173</v>
      </c>
      <c r="AZ100" s="9">
        <v>795</v>
      </c>
      <c r="BA100" s="9">
        <v>500</v>
      </c>
    </row>
    <row r="101" spans="51:53" x14ac:dyDescent="0.25">
      <c r="AY101" s="58" t="s">
        <v>174</v>
      </c>
      <c r="AZ101" s="9">
        <v>1772.61</v>
      </c>
      <c r="BA101" s="9">
        <v>483</v>
      </c>
    </row>
    <row r="102" spans="51:53" x14ac:dyDescent="0.25">
      <c r="AY102" s="58" t="s">
        <v>175</v>
      </c>
      <c r="AZ102" s="9">
        <v>3316.6799999999994</v>
      </c>
      <c r="BA102" s="9">
        <v>332</v>
      </c>
    </row>
    <row r="103" spans="51:53" x14ac:dyDescent="0.25">
      <c r="AY103" s="58" t="s">
        <v>176</v>
      </c>
      <c r="AZ103" s="9">
        <v>-123.3100000000004</v>
      </c>
      <c r="BA103" s="9">
        <v>649</v>
      </c>
    </row>
    <row r="104" spans="51:53" x14ac:dyDescent="0.25">
      <c r="AY104" s="58" t="s">
        <v>177</v>
      </c>
      <c r="AZ104" s="9">
        <v>2290.9</v>
      </c>
      <c r="BA104" s="9">
        <v>739</v>
      </c>
    </row>
    <row r="105" spans="51:53" x14ac:dyDescent="0.25">
      <c r="AY105" s="58" t="s">
        <v>178</v>
      </c>
      <c r="AZ105" s="9">
        <v>6940.9600000000009</v>
      </c>
      <c r="BA105" s="9">
        <v>568</v>
      </c>
    </row>
    <row r="106" spans="51:53" x14ac:dyDescent="0.25">
      <c r="AY106" s="58" t="s">
        <v>179</v>
      </c>
      <c r="AZ106" s="9">
        <v>3072.66</v>
      </c>
      <c r="BA106" s="9">
        <v>617</v>
      </c>
    </row>
    <row r="107" spans="51:53" x14ac:dyDescent="0.25">
      <c r="AY107" s="58" t="s">
        <v>180</v>
      </c>
      <c r="AZ107" s="9">
        <v>4626.4799999999996</v>
      </c>
      <c r="BA107" s="9">
        <v>521</v>
      </c>
    </row>
    <row r="108" spans="51:53" x14ac:dyDescent="0.25">
      <c r="AY108" s="58" t="s">
        <v>181</v>
      </c>
      <c r="AZ108" s="9">
        <v>4868.8999999999996</v>
      </c>
      <c r="BA108" s="9">
        <v>538</v>
      </c>
    </row>
    <row r="109" spans="51:53" x14ac:dyDescent="0.25">
      <c r="AY109" s="58" t="s">
        <v>182</v>
      </c>
      <c r="AZ109" s="9">
        <v>1499.8799999999997</v>
      </c>
      <c r="BA109" s="9">
        <v>431</v>
      </c>
    </row>
    <row r="110" spans="51:53" x14ac:dyDescent="0.25">
      <c r="AY110" s="58" t="s">
        <v>183</v>
      </c>
      <c r="AZ110" s="9">
        <v>4512.9199999999992</v>
      </c>
      <c r="BA110" s="9">
        <v>514</v>
      </c>
    </row>
    <row r="111" spans="51:53" x14ac:dyDescent="0.25">
      <c r="AY111" s="58" t="s">
        <v>184</v>
      </c>
      <c r="AZ111" s="9">
        <v>2784.2299999999991</v>
      </c>
      <c r="BA111" s="9">
        <v>509</v>
      </c>
    </row>
    <row r="112" spans="51:53" x14ac:dyDescent="0.25">
      <c r="AY112" s="58" t="s">
        <v>185</v>
      </c>
      <c r="AZ112" s="9">
        <v>20.519999999999982</v>
      </c>
      <c r="BA112" s="9">
        <v>171</v>
      </c>
    </row>
    <row r="113" spans="51:53" x14ac:dyDescent="0.25">
      <c r="AY113" s="58" t="s">
        <v>186</v>
      </c>
      <c r="AZ113" s="9">
        <v>-2367.4800000000005</v>
      </c>
      <c r="BA113" s="9">
        <v>362</v>
      </c>
    </row>
    <row r="114" spans="51:53" x14ac:dyDescent="0.25">
      <c r="AY114" s="58" t="s">
        <v>187</v>
      </c>
      <c r="AZ114" s="9">
        <v>-922.34999999999991</v>
      </c>
      <c r="BA114" s="9">
        <v>215</v>
      </c>
    </row>
    <row r="115" spans="51:53" x14ac:dyDescent="0.25">
      <c r="AY115" s="58" t="s">
        <v>188</v>
      </c>
      <c r="AZ115" s="9">
        <v>258.29999999999995</v>
      </c>
      <c r="BA115" s="9">
        <v>615</v>
      </c>
    </row>
    <row r="116" spans="51:53" x14ac:dyDescent="0.25">
      <c r="AY116" s="58" t="s">
        <v>189</v>
      </c>
      <c r="AZ116" s="9">
        <v>-3729.32</v>
      </c>
      <c r="BA116" s="9">
        <v>532</v>
      </c>
    </row>
    <row r="117" spans="51:53" x14ac:dyDescent="0.25">
      <c r="AY117" s="58" t="s">
        <v>190</v>
      </c>
      <c r="AZ117" s="9">
        <v>2804.760000000002</v>
      </c>
      <c r="BA117" s="9">
        <v>588</v>
      </c>
    </row>
    <row r="118" spans="51:53" x14ac:dyDescent="0.25">
      <c r="AY118" s="58" t="s">
        <v>191</v>
      </c>
      <c r="AZ118" s="9">
        <v>2592.33</v>
      </c>
      <c r="BA118" s="9">
        <v>663</v>
      </c>
    </row>
    <row r="119" spans="51:53" x14ac:dyDescent="0.25">
      <c r="AY119" s="58" t="s">
        <v>192</v>
      </c>
      <c r="AZ119" s="9">
        <v>1335.3600000000006</v>
      </c>
      <c r="BA119" s="9">
        <v>428</v>
      </c>
    </row>
    <row r="120" spans="51:53" x14ac:dyDescent="0.25">
      <c r="AY120" s="58" t="s">
        <v>193</v>
      </c>
      <c r="AZ120" s="9">
        <v>6438.75</v>
      </c>
      <c r="BA120" s="9">
        <v>505</v>
      </c>
    </row>
    <row r="121" spans="51:53" x14ac:dyDescent="0.25">
      <c r="AY121" s="58" t="s">
        <v>194</v>
      </c>
      <c r="AZ121" s="9">
        <v>8215.99</v>
      </c>
      <c r="BA121" s="9">
        <v>691</v>
      </c>
    </row>
    <row r="122" spans="51:53" x14ac:dyDescent="0.25">
      <c r="AY122" s="58" t="s">
        <v>195</v>
      </c>
      <c r="AZ122" s="9">
        <v>-4.8999999999996362</v>
      </c>
      <c r="BA122" s="9">
        <v>490</v>
      </c>
    </row>
    <row r="123" spans="51:53" x14ac:dyDescent="0.25">
      <c r="AY123" s="58" t="s">
        <v>196</v>
      </c>
      <c r="AZ123" s="9">
        <v>2096.9999999999995</v>
      </c>
      <c r="BA123" s="9">
        <v>466</v>
      </c>
    </row>
    <row r="124" spans="51:53" x14ac:dyDescent="0.25">
      <c r="AY124" s="58" t="s">
        <v>197</v>
      </c>
      <c r="AZ124" s="9">
        <v>4388.6100000000024</v>
      </c>
      <c r="BA124" s="9">
        <v>607</v>
      </c>
    </row>
    <row r="125" spans="51:53" x14ac:dyDescent="0.25">
      <c r="AY125" s="58" t="s">
        <v>198</v>
      </c>
      <c r="AZ125" s="9">
        <v>-112.80999999999949</v>
      </c>
      <c r="BA125" s="9">
        <v>389</v>
      </c>
    </row>
    <row r="126" spans="51:53" x14ac:dyDescent="0.25">
      <c r="AY126" s="58" t="s">
        <v>199</v>
      </c>
      <c r="AZ126" s="9">
        <v>-418.69999999999982</v>
      </c>
      <c r="BA126" s="9">
        <v>530</v>
      </c>
    </row>
    <row r="127" spans="51:53" x14ac:dyDescent="0.25">
      <c r="AY127" s="58" t="s">
        <v>200</v>
      </c>
      <c r="AZ127" s="9">
        <v>5442.36</v>
      </c>
      <c r="BA127" s="9">
        <v>589</v>
      </c>
    </row>
    <row r="128" spans="51:53" x14ac:dyDescent="0.25">
      <c r="AY128" s="58" t="s">
        <v>201</v>
      </c>
      <c r="AZ128" s="9">
        <v>1966.5000000000009</v>
      </c>
      <c r="BA128" s="9">
        <v>575</v>
      </c>
    </row>
    <row r="129" spans="51:53" x14ac:dyDescent="0.25">
      <c r="AY129" s="58" t="s">
        <v>202</v>
      </c>
      <c r="AZ129" s="9">
        <v>846.80000000000052</v>
      </c>
      <c r="BA129" s="9">
        <v>580</v>
      </c>
    </row>
    <row r="130" spans="51:53" x14ac:dyDescent="0.25">
      <c r="AY130" s="58" t="s">
        <v>21</v>
      </c>
      <c r="AZ130" s="9">
        <v>190084.82000000018</v>
      </c>
      <c r="BA130" s="9">
        <v>49212</v>
      </c>
    </row>
  </sheetData>
  <pageMargins left="0.7" right="0.7" top="0.75" bottom="0.75" header="0.3" footer="0.3"/>
  <pageSetup orientation="portrait" verticalDpi="0"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AK28"/>
  <sheetViews>
    <sheetView topLeftCell="AC16" zoomScale="110" zoomScaleNormal="110" workbookViewId="0">
      <selection activeCell="AH28" sqref="AH28"/>
    </sheetView>
  </sheetViews>
  <sheetFormatPr defaultRowHeight="15" x14ac:dyDescent="0.25"/>
  <cols>
    <col min="3" max="3" width="13.140625" bestFit="1" customWidth="1"/>
    <col min="4" max="4" width="13.85546875" bestFit="1" customWidth="1"/>
    <col min="5" max="5" width="11.7109375" customWidth="1"/>
    <col min="9" max="9" width="13.85546875" bestFit="1" customWidth="1"/>
    <col min="10" max="10" width="11.42578125" bestFit="1" customWidth="1"/>
    <col min="11" max="11" width="10.28515625" customWidth="1"/>
    <col min="17" max="17" width="9.140625" style="29"/>
    <col min="20" max="20" width="13.85546875" bestFit="1" customWidth="1"/>
    <col min="21" max="21" width="11.7109375" bestFit="1" customWidth="1"/>
    <col min="25" max="25" width="13.140625" customWidth="1"/>
    <col min="26" max="26" width="13.85546875" bestFit="1" customWidth="1"/>
    <col min="27" max="27" width="14.85546875" bestFit="1" customWidth="1"/>
    <col min="28" max="28" width="9.140625" style="44"/>
    <col min="29" max="29" width="10.140625" customWidth="1"/>
    <col min="30" max="30" width="13.85546875" customWidth="1"/>
    <col min="31" max="31" width="14.85546875" bestFit="1" customWidth="1"/>
    <col min="34" max="34" width="15.42578125" customWidth="1"/>
    <col min="35" max="35" width="13.85546875" customWidth="1"/>
    <col min="36" max="36" width="14.85546875" bestFit="1" customWidth="1"/>
  </cols>
  <sheetData>
    <row r="5" spans="3:37" x14ac:dyDescent="0.25">
      <c r="C5" s="18" t="s">
        <v>39</v>
      </c>
      <c r="D5" s="19" t="s">
        <v>0</v>
      </c>
      <c r="E5" s="19" t="s">
        <v>10</v>
      </c>
      <c r="H5" s="22" t="s">
        <v>23</v>
      </c>
      <c r="I5" s="22" t="str">
        <f>D5</f>
        <v>Total Revenue</v>
      </c>
      <c r="J5" s="22" t="str">
        <f>E5</f>
        <v>Total Target</v>
      </c>
      <c r="K5" s="22" t="s">
        <v>40</v>
      </c>
      <c r="L5" s="23"/>
      <c r="M5" s="23"/>
      <c r="N5" s="22" t="str">
        <f>H5</f>
        <v>Month</v>
      </c>
      <c r="O5" s="22" t="s">
        <v>37</v>
      </c>
      <c r="P5" s="26"/>
      <c r="Q5" s="27"/>
      <c r="R5" s="26"/>
      <c r="T5" s="19" t="s">
        <v>0</v>
      </c>
      <c r="U5" s="19" t="s">
        <v>10</v>
      </c>
      <c r="V5" t="s">
        <v>37</v>
      </c>
      <c r="Y5" s="18" t="s">
        <v>39</v>
      </c>
      <c r="Z5" s="19" t="s">
        <v>0</v>
      </c>
      <c r="AA5" s="19" t="s">
        <v>45</v>
      </c>
      <c r="AC5" s="18" t="s">
        <v>39</v>
      </c>
      <c r="AD5" s="19" t="s">
        <v>0</v>
      </c>
      <c r="AE5" s="19" t="s">
        <v>45</v>
      </c>
      <c r="AH5" s="18" t="s">
        <v>39</v>
      </c>
      <c r="AI5" s="19" t="s">
        <v>0</v>
      </c>
      <c r="AJ5" s="19" t="s">
        <v>45</v>
      </c>
    </row>
    <row r="6" spans="3:37" x14ac:dyDescent="0.25">
      <c r="C6" s="20" t="s">
        <v>27</v>
      </c>
      <c r="D6" s="21">
        <v>444162.52000000014</v>
      </c>
      <c r="E6" s="21">
        <v>439042</v>
      </c>
      <c r="H6" s="19" t="str">
        <f t="shared" ref="H6:H17" si="0">C6</f>
        <v>Jan</v>
      </c>
      <c r="I6" s="21">
        <f t="shared" ref="I6:I17" si="1">D6</f>
        <v>444162.52000000014</v>
      </c>
      <c r="J6" s="21">
        <f t="shared" ref="J6:J17" si="2">E6</f>
        <v>439042</v>
      </c>
      <c r="K6" s="21" t="str">
        <f t="shared" ref="K6:K12" si="3">IF(I6=large_1,I6,IF(I6=large_2,I6,""))</f>
        <v/>
      </c>
      <c r="N6" s="19" t="str">
        <f t="shared" ref="N6:N17" si="4">H6</f>
        <v>Jan</v>
      </c>
      <c r="O6" s="24">
        <f>(I6-J6)/J6</f>
        <v>1.1662938853230749E-2</v>
      </c>
      <c r="P6" s="25"/>
      <c r="Q6" s="28"/>
      <c r="R6" s="25"/>
      <c r="T6" s="31">
        <v>5446809.4700000202</v>
      </c>
      <c r="U6" s="31">
        <v>5254990</v>
      </c>
      <c r="V6" s="14">
        <f>(GETPIVOTDATA("[Measures].[Total Revenue]",$T$5)-GETPIVOTDATA("[Measures].[Total Target]",$T$5))/GETPIVOTDATA("[Measures].[Total Target]",$T$5)</f>
        <v>3.6502347292767488E-2</v>
      </c>
      <c r="Y6" s="20" t="s">
        <v>43</v>
      </c>
      <c r="Z6" s="30">
        <v>3894278.1300000134</v>
      </c>
      <c r="AA6" s="33">
        <v>0.7149649995008911</v>
      </c>
      <c r="AC6" s="20" t="s">
        <v>46</v>
      </c>
      <c r="AD6" s="30">
        <v>1336248.3099999984</v>
      </c>
      <c r="AE6" s="46"/>
      <c r="AH6" s="20" t="s">
        <v>55</v>
      </c>
      <c r="AI6" s="30">
        <v>765868.27999999898</v>
      </c>
      <c r="AJ6" s="50">
        <v>0.14060860476546028</v>
      </c>
    </row>
    <row r="7" spans="3:37" x14ac:dyDescent="0.25">
      <c r="C7" s="20" t="s">
        <v>26</v>
      </c>
      <c r="D7" s="21">
        <v>423741.52</v>
      </c>
      <c r="E7" s="21">
        <v>431279</v>
      </c>
      <c r="H7" s="19" t="str">
        <f t="shared" si="0"/>
        <v>Feb</v>
      </c>
      <c r="I7" s="21">
        <f t="shared" si="1"/>
        <v>423741.52</v>
      </c>
      <c r="J7" s="21">
        <f t="shared" si="2"/>
        <v>431279</v>
      </c>
      <c r="K7" s="21" t="str">
        <f t="shared" si="3"/>
        <v/>
      </c>
      <c r="N7" s="19" t="str">
        <f t="shared" si="4"/>
        <v>Feb</v>
      </c>
      <c r="O7" s="24">
        <f t="shared" ref="O7:O17" si="5">(I7-J7)/J7</f>
        <v>-1.7477039225188291E-2</v>
      </c>
      <c r="P7" s="25"/>
      <c r="Q7" s="28"/>
      <c r="R7" s="25"/>
      <c r="Y7" s="20" t="s">
        <v>44</v>
      </c>
      <c r="Z7" s="30">
        <v>1552531.3400000015</v>
      </c>
      <c r="AA7" s="33">
        <v>0.2850350004991079</v>
      </c>
      <c r="AC7" s="20" t="s">
        <v>47</v>
      </c>
      <c r="AD7" s="30">
        <v>1384874.5400000024</v>
      </c>
      <c r="AE7" s="46">
        <v>3.6390115247370451E-2</v>
      </c>
      <c r="AH7" s="20" t="s">
        <v>56</v>
      </c>
      <c r="AI7" s="30">
        <v>789470.8800000028</v>
      </c>
      <c r="AJ7" s="50">
        <v>0.14494189384597655</v>
      </c>
    </row>
    <row r="8" spans="3:37" x14ac:dyDescent="0.25">
      <c r="C8" s="20" t="s">
        <v>30</v>
      </c>
      <c r="D8" s="21">
        <v>468344.26999999949</v>
      </c>
      <c r="E8" s="21">
        <v>445591</v>
      </c>
      <c r="H8" s="19" t="str">
        <f t="shared" si="0"/>
        <v>Mar</v>
      </c>
      <c r="I8" s="21">
        <f t="shared" si="1"/>
        <v>468344.26999999949</v>
      </c>
      <c r="J8" s="21">
        <f t="shared" si="2"/>
        <v>445591</v>
      </c>
      <c r="K8" s="21" t="str">
        <f t="shared" si="3"/>
        <v/>
      </c>
      <c r="N8" s="19" t="str">
        <f t="shared" si="4"/>
        <v>Mar</v>
      </c>
      <c r="O8" s="24">
        <f t="shared" si="5"/>
        <v>5.1063127397096203E-2</v>
      </c>
      <c r="P8" s="25"/>
      <c r="Q8" s="28"/>
      <c r="R8" s="25"/>
      <c r="AC8" s="20" t="s">
        <v>48</v>
      </c>
      <c r="AD8" s="30">
        <v>1362939.5400000014</v>
      </c>
      <c r="AE8" s="46">
        <v>-1.5838979897775357E-2</v>
      </c>
      <c r="AH8" s="20" t="s">
        <v>57</v>
      </c>
      <c r="AI8" s="30">
        <v>772166.82999999914</v>
      </c>
      <c r="AJ8" s="50">
        <v>0.14176497897584736</v>
      </c>
    </row>
    <row r="9" spans="3:37" x14ac:dyDescent="0.25">
      <c r="C9" s="20" t="s">
        <v>24</v>
      </c>
      <c r="D9" s="21">
        <v>448652.76000000007</v>
      </c>
      <c r="E9" s="21">
        <v>453071</v>
      </c>
      <c r="H9" s="19" t="str">
        <f t="shared" si="0"/>
        <v>Apr</v>
      </c>
      <c r="I9" s="21">
        <f t="shared" si="1"/>
        <v>448652.76000000007</v>
      </c>
      <c r="J9" s="21">
        <f t="shared" si="2"/>
        <v>453071</v>
      </c>
      <c r="K9" s="21" t="str">
        <f t="shared" si="3"/>
        <v/>
      </c>
      <c r="N9" s="19" t="str">
        <f t="shared" si="4"/>
        <v>Apr</v>
      </c>
      <c r="O9" s="24">
        <f t="shared" si="5"/>
        <v>-9.7517607615581932E-3</v>
      </c>
      <c r="P9" s="25"/>
      <c r="Q9" s="28"/>
      <c r="R9" s="25"/>
      <c r="V9" t="str">
        <f>IF(GETPIVOTDATA("[Measures].[Total Revenue]",$T$5)-GETPIVOTDATA("[Measures].[Total Target]",$T$5)/GETPIVOTDATA("[Measures].[Total Target]",$T$5)&gt;0,"↑"&amp;TEXT((GETPIVOTDATA("[Measures].[Total Revenue]",$T$5)-GETPIVOTDATA("[Measures].[Total Target]",$T$5))/GETPIVOTDATA("[Measures].[Total Target]",$T$5),"+0.0%;-0.0%"),"↓"&amp;TEXT((GETPIVOTDATA("[Measures].[Total Revenue]",$T$5)-GETPIVOTDATA("[Measures].[Total Target]",$T$5))/GETPIVOTDATA("[Measures].[Total Target]",$T$5),"+0.0%;-0.0%"))</f>
        <v>↑+3.7%</v>
      </c>
      <c r="Y9" s="20" t="s">
        <v>43</v>
      </c>
      <c r="Z9" s="30">
        <f>GETPIVOTDATA("[Measures].[Total Revenue]",$Y$5,"[Date].[WeekType]","[Date].[WeekType].&amp;[Weekday]")</f>
        <v>3894278.1300000134</v>
      </c>
      <c r="AC9" s="20" t="s">
        <v>49</v>
      </c>
      <c r="AD9" s="30">
        <v>1362747.0800000008</v>
      </c>
      <c r="AE9" s="46">
        <v>-1.4120949194904202E-4</v>
      </c>
      <c r="AH9" s="20" t="s">
        <v>58</v>
      </c>
      <c r="AI9" s="30">
        <v>774303.62999999756</v>
      </c>
      <c r="AJ9" s="50">
        <v>0.14215728203174963</v>
      </c>
    </row>
    <row r="10" spans="3:37" x14ac:dyDescent="0.25">
      <c r="C10" s="20" t="s">
        <v>31</v>
      </c>
      <c r="D10" s="21">
        <v>480720.64000000001</v>
      </c>
      <c r="E10" s="21">
        <v>444167</v>
      </c>
      <c r="H10" s="19" t="str">
        <f t="shared" si="0"/>
        <v>May</v>
      </c>
      <c r="I10" s="21">
        <f t="shared" si="1"/>
        <v>480720.64000000001</v>
      </c>
      <c r="J10" s="21">
        <f t="shared" si="2"/>
        <v>444167</v>
      </c>
      <c r="K10" s="21">
        <f t="shared" si="3"/>
        <v>480720.64000000001</v>
      </c>
      <c r="N10" s="19" t="str">
        <f t="shared" si="4"/>
        <v>May</v>
      </c>
      <c r="O10" s="24">
        <f t="shared" si="5"/>
        <v>8.2297063942165932E-2</v>
      </c>
      <c r="P10" s="25"/>
      <c r="Q10" s="28"/>
      <c r="R10" s="25"/>
      <c r="T10" s="31">
        <f>GETPIVOTDATA("[Measures].[Total Revenue]",$T$5)</f>
        <v>5446809.4700000202</v>
      </c>
      <c r="U10" s="31">
        <f>GETPIVOTDATA("[Measures].[Total Target]",$T$5)</f>
        <v>5254990</v>
      </c>
      <c r="V10" s="32" t="str">
        <f>IF((T10-U10)/U10&gt;=0,"↑"&amp;TEXT((T10-U10)/U10,"+0.0%;-0.0%"),"↓"&amp;TEXT((T10-U10)/U10,"+0.0%;-0.0%"))</f>
        <v>↑+3.7%</v>
      </c>
      <c r="Y10" s="20" t="s">
        <v>44</v>
      </c>
      <c r="Z10" s="30">
        <f>GETPIVOTDATA("[Measures].[Total Revenue]",$Y$5,"[Date].[WeekType]","[Date].[WeekType].&amp;[Weekend]")</f>
        <v>1552531.3400000015</v>
      </c>
      <c r="AH10" s="20" t="s">
        <v>59</v>
      </c>
      <c r="AI10" s="30">
        <v>795985.00999999966</v>
      </c>
      <c r="AJ10" s="50">
        <v>0.14613784719001685</v>
      </c>
    </row>
    <row r="11" spans="3:37" x14ac:dyDescent="0.25">
      <c r="C11" s="20" t="s">
        <v>29</v>
      </c>
      <c r="D11" s="21">
        <v>455501.13999999996</v>
      </c>
      <c r="E11" s="21">
        <v>421979</v>
      </c>
      <c r="H11" s="19" t="str">
        <f t="shared" si="0"/>
        <v>Jun</v>
      </c>
      <c r="I11" s="21">
        <f t="shared" si="1"/>
        <v>455501.13999999996</v>
      </c>
      <c r="J11" s="21">
        <f t="shared" si="2"/>
        <v>421979</v>
      </c>
      <c r="K11" s="21" t="str">
        <f t="shared" si="3"/>
        <v/>
      </c>
      <c r="N11" s="19" t="str">
        <f t="shared" si="4"/>
        <v>Jun</v>
      </c>
      <c r="O11" s="24">
        <f t="shared" si="5"/>
        <v>7.9440303901378878E-2</v>
      </c>
      <c r="P11" s="25"/>
      <c r="Q11" s="28"/>
      <c r="R11" s="25"/>
      <c r="AC11" s="45" t="s">
        <v>50</v>
      </c>
      <c r="AH11" s="20" t="s">
        <v>60</v>
      </c>
      <c r="AI11" s="30">
        <v>762351.78000000084</v>
      </c>
      <c r="AJ11" s="50">
        <v>0.13996299745729826</v>
      </c>
    </row>
    <row r="12" spans="3:37" x14ac:dyDescent="0.25">
      <c r="C12" s="20" t="s">
        <v>28</v>
      </c>
      <c r="D12" s="21">
        <v>433725.86000000057</v>
      </c>
      <c r="E12" s="21">
        <v>456718</v>
      </c>
      <c r="H12" s="19" t="str">
        <f t="shared" si="0"/>
        <v>Jul</v>
      </c>
      <c r="I12" s="21">
        <f t="shared" si="1"/>
        <v>433725.86000000057</v>
      </c>
      <c r="J12" s="21">
        <f t="shared" si="2"/>
        <v>456718</v>
      </c>
      <c r="K12" s="21" t="str">
        <f t="shared" si="3"/>
        <v/>
      </c>
      <c r="N12" s="19" t="str">
        <f t="shared" si="4"/>
        <v>Jul</v>
      </c>
      <c r="O12" s="24">
        <f t="shared" si="5"/>
        <v>-5.0342092932618009E-2</v>
      </c>
      <c r="P12" s="25"/>
      <c r="Q12" s="28"/>
      <c r="R12" s="25"/>
      <c r="AH12" s="20" t="s">
        <v>61</v>
      </c>
      <c r="AI12" s="30">
        <v>786663.06000000041</v>
      </c>
      <c r="AJ12" s="50">
        <v>0.14442639573364727</v>
      </c>
    </row>
    <row r="13" spans="3:37" x14ac:dyDescent="0.25">
      <c r="C13" s="20" t="s">
        <v>38</v>
      </c>
      <c r="D13" s="21">
        <v>485766.24999999977</v>
      </c>
      <c r="E13" s="21">
        <v>431727</v>
      </c>
      <c r="H13" s="19" t="str">
        <f t="shared" si="0"/>
        <v>Aug</v>
      </c>
      <c r="I13" s="21">
        <f t="shared" si="1"/>
        <v>485766.24999999977</v>
      </c>
      <c r="J13" s="21">
        <f t="shared" si="2"/>
        <v>431727</v>
      </c>
      <c r="K13" s="21">
        <f>I13</f>
        <v>485766.24999999977</v>
      </c>
      <c r="N13" s="19" t="str">
        <f t="shared" si="4"/>
        <v>Aug</v>
      </c>
      <c r="O13" s="24">
        <f t="shared" si="5"/>
        <v>0.12516995694038077</v>
      </c>
      <c r="P13" s="25"/>
      <c r="Q13" s="28"/>
      <c r="R13" s="25"/>
      <c r="AC13" s="47" t="s">
        <v>51</v>
      </c>
      <c r="AD13" s="47" t="s">
        <v>0</v>
      </c>
      <c r="AE13" s="48" t="s">
        <v>40</v>
      </c>
      <c r="AF13" s="48" t="s">
        <v>52</v>
      </c>
    </row>
    <row r="14" spans="3:37" x14ac:dyDescent="0.25">
      <c r="C14" s="20" t="s">
        <v>34</v>
      </c>
      <c r="D14" s="21">
        <v>443447.43000000028</v>
      </c>
      <c r="E14" s="21">
        <v>446912</v>
      </c>
      <c r="H14" s="19" t="str">
        <f t="shared" si="0"/>
        <v>Sep</v>
      </c>
      <c r="I14" s="21">
        <f t="shared" si="1"/>
        <v>443447.43000000028</v>
      </c>
      <c r="J14" s="21">
        <f t="shared" si="2"/>
        <v>446912</v>
      </c>
      <c r="K14" s="21" t="str">
        <f>IF(I14=large_1,I14,IF(I14=large_2,I14,""))</f>
        <v/>
      </c>
      <c r="N14" s="19" t="str">
        <f t="shared" si="4"/>
        <v>Sep</v>
      </c>
      <c r="O14" s="24">
        <f t="shared" si="5"/>
        <v>-7.7522420521259575E-3</v>
      </c>
      <c r="P14" s="25"/>
      <c r="Q14" s="28"/>
      <c r="R14" s="25"/>
      <c r="AC14" s="20" t="s">
        <v>46</v>
      </c>
      <c r="AD14" s="30">
        <v>1336248.3099999984</v>
      </c>
      <c r="AE14" s="30" t="str">
        <f>IF(AD14&gt;AF14,AD14,"")</f>
        <v/>
      </c>
      <c r="AF14" s="30">
        <f>AVERAGE($AD$14:$AD$17)</f>
        <v>1361702.3675000006</v>
      </c>
    </row>
    <row r="15" spans="3:37" x14ac:dyDescent="0.25">
      <c r="C15" s="20" t="s">
        <v>33</v>
      </c>
      <c r="D15" s="21">
        <v>458984.37999999971</v>
      </c>
      <c r="E15" s="21">
        <v>414360</v>
      </c>
      <c r="H15" s="19" t="str">
        <f t="shared" si="0"/>
        <v>Oct</v>
      </c>
      <c r="I15" s="21">
        <f t="shared" si="1"/>
        <v>458984.37999999971</v>
      </c>
      <c r="J15" s="21">
        <f t="shared" si="2"/>
        <v>414360</v>
      </c>
      <c r="K15" s="21" t="str">
        <f>IF(I15=large_1,I15,IF(I15=large_2,I15,""))</f>
        <v/>
      </c>
      <c r="N15" s="19" t="str">
        <f t="shared" si="4"/>
        <v>Oct</v>
      </c>
      <c r="O15" s="24">
        <f t="shared" si="5"/>
        <v>0.10769470991408368</v>
      </c>
      <c r="P15" s="25"/>
      <c r="Q15" s="28"/>
      <c r="R15" s="25"/>
      <c r="AC15" s="20" t="s">
        <v>47</v>
      </c>
      <c r="AD15" s="30">
        <v>1384874.5400000024</v>
      </c>
      <c r="AE15" s="30">
        <f>IF(AD15&gt;AF15,AD15,"")</f>
        <v>1384874.5400000024</v>
      </c>
      <c r="AF15" s="30">
        <f>AVERAGE($AD$14:$AD$17)</f>
        <v>1361702.3675000006</v>
      </c>
      <c r="AH15" s="52" t="s">
        <v>39</v>
      </c>
      <c r="AI15" s="53" t="str">
        <f>AI5</f>
        <v>Total Revenue</v>
      </c>
      <c r="AJ15" s="54" t="s">
        <v>62</v>
      </c>
      <c r="AK15" s="54" t="s">
        <v>52</v>
      </c>
    </row>
    <row r="16" spans="3:37" x14ac:dyDescent="0.25">
      <c r="C16" s="20" t="s">
        <v>32</v>
      </c>
      <c r="D16" s="21">
        <v>462537.40999999939</v>
      </c>
      <c r="E16" s="21">
        <v>413371</v>
      </c>
      <c r="H16" s="19" t="str">
        <f t="shared" si="0"/>
        <v>Nov</v>
      </c>
      <c r="I16" s="21">
        <f t="shared" si="1"/>
        <v>462537.40999999939</v>
      </c>
      <c r="J16" s="21">
        <f t="shared" si="2"/>
        <v>413371</v>
      </c>
      <c r="K16" s="21" t="str">
        <f>IF(I16=large_1,I16,IF(I16=large_2,I16,""))</f>
        <v/>
      </c>
      <c r="N16" s="19" t="str">
        <f t="shared" si="4"/>
        <v>Nov</v>
      </c>
      <c r="O16" s="24">
        <f t="shared" si="5"/>
        <v>0.11894015303443975</v>
      </c>
      <c r="P16" s="25"/>
      <c r="Q16" s="28"/>
      <c r="R16" s="25"/>
      <c r="AC16" s="20" t="s">
        <v>48</v>
      </c>
      <c r="AD16" s="30">
        <v>1362939.5400000014</v>
      </c>
      <c r="AE16" s="30">
        <f>IF(AD16&gt;AF16,AD16,"")</f>
        <v>1362939.5400000014</v>
      </c>
      <c r="AF16" s="30">
        <f>AVERAGE($AD$14:$AD$17)</f>
        <v>1361702.3675000006</v>
      </c>
      <c r="AH16" s="20" t="s">
        <v>55</v>
      </c>
      <c r="AI16" s="30">
        <v>765868.27999999898</v>
      </c>
      <c r="AJ16" s="30" t="str">
        <f>IF(AI16&gt;AK16,AI16,"")</f>
        <v/>
      </c>
      <c r="AK16" s="51">
        <f>AVERAGE($AI$16:$AI$22)</f>
        <v>778115.63857142848</v>
      </c>
    </row>
    <row r="17" spans="3:37" x14ac:dyDescent="0.25">
      <c r="C17" s="20" t="s">
        <v>25</v>
      </c>
      <c r="D17" s="21">
        <v>441225.2900000001</v>
      </c>
      <c r="E17" s="21">
        <v>456773</v>
      </c>
      <c r="H17" s="19" t="str">
        <f t="shared" si="0"/>
        <v>Dec</v>
      </c>
      <c r="I17" s="21">
        <f t="shared" si="1"/>
        <v>441225.2900000001</v>
      </c>
      <c r="J17" s="21">
        <f t="shared" si="2"/>
        <v>456773</v>
      </c>
      <c r="K17" s="21" t="str">
        <f>IF(I17=large_1,I17,IF(I17=large_2,I17,""))</f>
        <v/>
      </c>
      <c r="N17" s="19" t="str">
        <f t="shared" si="4"/>
        <v>Dec</v>
      </c>
      <c r="O17" s="24">
        <f t="shared" si="5"/>
        <v>-3.4038154619471607E-2</v>
      </c>
      <c r="P17" s="25"/>
      <c r="Q17" s="28"/>
      <c r="R17" s="25"/>
      <c r="AC17" s="20" t="s">
        <v>49</v>
      </c>
      <c r="AD17" s="30">
        <v>1362747.0800000008</v>
      </c>
      <c r="AE17" s="30">
        <f>IF(AD17&gt;AF17,AD17,"")</f>
        <v>1362747.0800000008</v>
      </c>
      <c r="AF17" s="30">
        <f>AVERAGE($AD$14:$AD$17)</f>
        <v>1361702.3675000006</v>
      </c>
      <c r="AH17" s="20" t="s">
        <v>56</v>
      </c>
      <c r="AI17" s="30">
        <v>789470.8800000028</v>
      </c>
      <c r="AJ17" s="30">
        <f t="shared" ref="AJ17:AJ22" si="6">IF(AI17&gt;AK17,AI17,"")</f>
        <v>789470.8800000028</v>
      </c>
      <c r="AK17" s="51">
        <f t="shared" ref="AK17:AK22" si="7">AVERAGE($AI$16:$AI$22)</f>
        <v>778115.63857142848</v>
      </c>
    </row>
    <row r="18" spans="3:37" x14ac:dyDescent="0.25">
      <c r="AH18" s="20" t="s">
        <v>57</v>
      </c>
      <c r="AI18" s="30">
        <v>772166.82999999914</v>
      </c>
      <c r="AJ18" s="30" t="str">
        <f t="shared" si="6"/>
        <v/>
      </c>
      <c r="AK18" s="51">
        <f t="shared" si="7"/>
        <v>778115.63857142848</v>
      </c>
    </row>
    <row r="19" spans="3:37" x14ac:dyDescent="0.25">
      <c r="AC19" s="45" t="s">
        <v>53</v>
      </c>
      <c r="AH19" s="20" t="s">
        <v>58</v>
      </c>
      <c r="AI19" s="30">
        <v>774303.62999999756</v>
      </c>
      <c r="AJ19" s="30" t="str">
        <f t="shared" si="6"/>
        <v/>
      </c>
      <c r="AK19" s="51">
        <f t="shared" si="7"/>
        <v>778115.63857142848</v>
      </c>
    </row>
    <row r="20" spans="3:37" x14ac:dyDescent="0.25">
      <c r="H20">
        <v>1</v>
      </c>
      <c r="I20" s="21">
        <f>LARGE($I$6:$I$17,H20)</f>
        <v>485766.24999999977</v>
      </c>
      <c r="J20" t="s">
        <v>41</v>
      </c>
      <c r="AC20" s="49" t="str">
        <f>CONCATENATE(" ",,"The line in the chart indicates"," ", TEXT(AF14,"$##")," Average Revenue")</f>
        <v xml:space="preserve"> The line in the chart indicates $1361702 Average Revenue</v>
      </c>
      <c r="AH20" s="20" t="s">
        <v>59</v>
      </c>
      <c r="AI20" s="30">
        <v>795985.00999999966</v>
      </c>
      <c r="AJ20" s="30">
        <f t="shared" si="6"/>
        <v>795985.00999999966</v>
      </c>
      <c r="AK20" s="51">
        <f t="shared" si="7"/>
        <v>778115.63857142848</v>
      </c>
    </row>
    <row r="21" spans="3:37" x14ac:dyDescent="0.25">
      <c r="H21">
        <v>2</v>
      </c>
      <c r="I21" s="21">
        <f>LARGE($I$6:$I$17,H21)</f>
        <v>480720.64000000001</v>
      </c>
      <c r="J21" t="s">
        <v>42</v>
      </c>
      <c r="AH21" s="20" t="s">
        <v>60</v>
      </c>
      <c r="AI21" s="30">
        <v>762351.78000000084</v>
      </c>
      <c r="AJ21" s="30" t="str">
        <f t="shared" si="6"/>
        <v/>
      </c>
      <c r="AK21" s="51">
        <f t="shared" si="7"/>
        <v>778115.63857142848</v>
      </c>
    </row>
    <row r="22" spans="3:37" x14ac:dyDescent="0.25">
      <c r="AH22" s="20" t="s">
        <v>61</v>
      </c>
      <c r="AI22" s="30">
        <v>786663.06000000041</v>
      </c>
      <c r="AJ22" s="30">
        <f t="shared" si="6"/>
        <v>786663.06000000041</v>
      </c>
      <c r="AK22" s="51">
        <f t="shared" si="7"/>
        <v>778115.63857142848</v>
      </c>
    </row>
    <row r="23" spans="3:37" x14ac:dyDescent="0.25">
      <c r="AC23" s="18" t="s">
        <v>54</v>
      </c>
      <c r="AD23" s="19" t="s">
        <v>0</v>
      </c>
      <c r="AE23" s="19" t="s">
        <v>45</v>
      </c>
    </row>
    <row r="24" spans="3:37" x14ac:dyDescent="0.25">
      <c r="AC24" s="20" t="s">
        <v>46</v>
      </c>
      <c r="AD24" s="30">
        <v>1336248.3099999984</v>
      </c>
      <c r="AE24" s="46"/>
    </row>
    <row r="25" spans="3:37" x14ac:dyDescent="0.25">
      <c r="AC25" s="20" t="s">
        <v>47</v>
      </c>
      <c r="AD25" s="30">
        <v>1384874.5400000024</v>
      </c>
      <c r="AE25" s="46">
        <v>3.6390115247370451E-2</v>
      </c>
    </row>
    <row r="26" spans="3:37" x14ac:dyDescent="0.25">
      <c r="AC26" s="20" t="s">
        <v>48</v>
      </c>
      <c r="AD26" s="30">
        <v>1362939.5400000014</v>
      </c>
      <c r="AE26" s="46">
        <v>-1.5838979897775357E-2</v>
      </c>
    </row>
    <row r="27" spans="3:37" x14ac:dyDescent="0.25">
      <c r="AC27" s="20" t="s">
        <v>49</v>
      </c>
      <c r="AD27" s="30">
        <v>1362747.0800000008</v>
      </c>
      <c r="AE27" s="46">
        <v>-1.4120949194904202E-4</v>
      </c>
    </row>
    <row r="28" spans="3:37" x14ac:dyDescent="0.25">
      <c r="AH28" s="49" t="str">
        <f>CONCATENATE(" ",,"The line in the chart indicates"," ", TEXT(AK22,"$##")," Average Revenue")</f>
        <v xml:space="preserve"> The line in the chart indicates $778116 Average Revenue</v>
      </c>
    </row>
  </sheetData>
  <pageMargins left="0.7" right="0.7" top="0.75" bottom="0.75" header="0.3" footer="0.3"/>
  <pageSetup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32"/>
  <sheetViews>
    <sheetView workbookViewId="0">
      <selection activeCell="B3" sqref="B3:B4"/>
    </sheetView>
  </sheetViews>
  <sheetFormatPr defaultRowHeight="15" x14ac:dyDescent="0.25"/>
  <cols>
    <col min="4" max="13" width="1.5703125" customWidth="1"/>
  </cols>
  <sheetData>
    <row r="3" spans="1:13" x14ac:dyDescent="0.25">
      <c r="A3" t="s">
        <v>44</v>
      </c>
      <c r="B3" s="43">
        <f>GETPIVOTDATA("[__Xl2].[Measures].[Total Revenue]",'Analysis-2'!$Y$5,"[Date].[WeekType]","[Date].[WeekType].&amp;[Weekend]")</f>
        <v>0.2850350004991079</v>
      </c>
    </row>
    <row r="4" spans="1:13" x14ac:dyDescent="0.25">
      <c r="A4" t="s">
        <v>43</v>
      </c>
      <c r="B4" s="43">
        <f>GETPIVOTDATA("[__Xl2].[Measures].[Total Revenue]",'Analysis-2'!$Y$5,"[Date].[WeekType]","[Date].[WeekType].&amp;[Weekday]")</f>
        <v>0.7149649995008911</v>
      </c>
    </row>
    <row r="8" spans="1:13" x14ac:dyDescent="0.25">
      <c r="B8" t="s">
        <v>44</v>
      </c>
    </row>
    <row r="9" spans="1:13" ht="5.45" customHeight="1" thickBot="1" x14ac:dyDescent="0.3">
      <c r="D9" s="34">
        <f t="shared" ref="D9:D16" si="0">D10+10</f>
        <v>91</v>
      </c>
      <c r="E9" s="35">
        <f t="shared" ref="E9:E16" si="1">E10+10</f>
        <v>92</v>
      </c>
      <c r="F9" s="35">
        <f t="shared" ref="F9:F16" si="2">F10+10</f>
        <v>93</v>
      </c>
      <c r="G9" s="35">
        <f t="shared" ref="G9:G16" si="3">G10+10</f>
        <v>94</v>
      </c>
      <c r="H9" s="35">
        <f t="shared" ref="H9:H16" si="4">H10+10</f>
        <v>95</v>
      </c>
      <c r="I9" s="35">
        <f t="shared" ref="I9:I16" si="5">I10+10</f>
        <v>96</v>
      </c>
      <c r="J9" s="35">
        <f t="shared" ref="J9:J16" si="6">J10+10</f>
        <v>97</v>
      </c>
      <c r="K9" s="35">
        <f t="shared" ref="K9:K16" si="7">K10+10</f>
        <v>98</v>
      </c>
      <c r="L9" s="35">
        <f t="shared" ref="L9:L16" si="8">L10+10</f>
        <v>99</v>
      </c>
      <c r="M9" s="36">
        <f t="shared" ref="M9:M16" si="9">M10+10</f>
        <v>100</v>
      </c>
    </row>
    <row r="10" spans="1:13" ht="5.45" customHeight="1" thickBot="1" x14ac:dyDescent="0.3">
      <c r="D10" s="37">
        <f t="shared" si="0"/>
        <v>81</v>
      </c>
      <c r="E10" s="38">
        <f t="shared" si="1"/>
        <v>82</v>
      </c>
      <c r="F10" s="38">
        <f t="shared" si="2"/>
        <v>83</v>
      </c>
      <c r="G10" s="38">
        <f t="shared" si="3"/>
        <v>84</v>
      </c>
      <c r="H10" s="38">
        <f t="shared" si="4"/>
        <v>85</v>
      </c>
      <c r="I10" s="38">
        <f t="shared" si="5"/>
        <v>86</v>
      </c>
      <c r="J10" s="38">
        <f t="shared" si="6"/>
        <v>87</v>
      </c>
      <c r="K10" s="38">
        <f t="shared" si="7"/>
        <v>88</v>
      </c>
      <c r="L10" s="38">
        <f t="shared" si="8"/>
        <v>89</v>
      </c>
      <c r="M10" s="39">
        <f t="shared" si="9"/>
        <v>90</v>
      </c>
    </row>
    <row r="11" spans="1:13" ht="5.45" customHeight="1" thickBot="1" x14ac:dyDescent="0.3">
      <c r="D11" s="37">
        <f t="shared" si="0"/>
        <v>71</v>
      </c>
      <c r="E11" s="38">
        <f t="shared" si="1"/>
        <v>72</v>
      </c>
      <c r="F11" s="38">
        <f t="shared" si="2"/>
        <v>73</v>
      </c>
      <c r="G11" s="38">
        <f t="shared" si="3"/>
        <v>74</v>
      </c>
      <c r="H11" s="38">
        <f t="shared" si="4"/>
        <v>75</v>
      </c>
      <c r="I11" s="38">
        <f t="shared" si="5"/>
        <v>76</v>
      </c>
      <c r="J11" s="38">
        <f t="shared" si="6"/>
        <v>77</v>
      </c>
      <c r="K11" s="38">
        <f t="shared" si="7"/>
        <v>78</v>
      </c>
      <c r="L11" s="38">
        <f t="shared" si="8"/>
        <v>79</v>
      </c>
      <c r="M11" s="39">
        <f t="shared" si="9"/>
        <v>80</v>
      </c>
    </row>
    <row r="12" spans="1:13" ht="5.45" customHeight="1" thickBot="1" x14ac:dyDescent="0.3">
      <c r="D12" s="37">
        <f t="shared" si="0"/>
        <v>61</v>
      </c>
      <c r="E12" s="38">
        <f t="shared" si="1"/>
        <v>62</v>
      </c>
      <c r="F12" s="38">
        <f t="shared" si="2"/>
        <v>63</v>
      </c>
      <c r="G12" s="38">
        <f t="shared" si="3"/>
        <v>64</v>
      </c>
      <c r="H12" s="38">
        <f t="shared" si="4"/>
        <v>65</v>
      </c>
      <c r="I12" s="38">
        <f t="shared" si="5"/>
        <v>66</v>
      </c>
      <c r="J12" s="38">
        <f t="shared" si="6"/>
        <v>67</v>
      </c>
      <c r="K12" s="38">
        <f t="shared" si="7"/>
        <v>68</v>
      </c>
      <c r="L12" s="38">
        <f t="shared" si="8"/>
        <v>69</v>
      </c>
      <c r="M12" s="39">
        <f t="shared" si="9"/>
        <v>70</v>
      </c>
    </row>
    <row r="13" spans="1:13" ht="5.45" customHeight="1" thickBot="1" x14ac:dyDescent="0.3">
      <c r="D13" s="37">
        <f t="shared" si="0"/>
        <v>51</v>
      </c>
      <c r="E13" s="38">
        <f t="shared" si="1"/>
        <v>52</v>
      </c>
      <c r="F13" s="38">
        <f t="shared" si="2"/>
        <v>53</v>
      </c>
      <c r="G13" s="38">
        <f t="shared" si="3"/>
        <v>54</v>
      </c>
      <c r="H13" s="38">
        <f t="shared" si="4"/>
        <v>55</v>
      </c>
      <c r="I13" s="38">
        <f t="shared" si="5"/>
        <v>56</v>
      </c>
      <c r="J13" s="38">
        <f t="shared" si="6"/>
        <v>57</v>
      </c>
      <c r="K13" s="38">
        <f t="shared" si="7"/>
        <v>58</v>
      </c>
      <c r="L13" s="38">
        <f t="shared" si="8"/>
        <v>59</v>
      </c>
      <c r="M13" s="39">
        <f t="shared" si="9"/>
        <v>60</v>
      </c>
    </row>
    <row r="14" spans="1:13" ht="5.45" customHeight="1" thickBot="1" x14ac:dyDescent="0.3">
      <c r="D14" s="37">
        <f t="shared" si="0"/>
        <v>41</v>
      </c>
      <c r="E14" s="38">
        <f t="shared" si="1"/>
        <v>42</v>
      </c>
      <c r="F14" s="38">
        <f t="shared" si="2"/>
        <v>43</v>
      </c>
      <c r="G14" s="38">
        <f t="shared" si="3"/>
        <v>44</v>
      </c>
      <c r="H14" s="38">
        <f t="shared" si="4"/>
        <v>45</v>
      </c>
      <c r="I14" s="38">
        <f t="shared" si="5"/>
        <v>46</v>
      </c>
      <c r="J14" s="38">
        <f t="shared" si="6"/>
        <v>47</v>
      </c>
      <c r="K14" s="38">
        <f t="shared" si="7"/>
        <v>48</v>
      </c>
      <c r="L14" s="38">
        <f t="shared" si="8"/>
        <v>49</v>
      </c>
      <c r="M14" s="39">
        <f t="shared" si="9"/>
        <v>50</v>
      </c>
    </row>
    <row r="15" spans="1:13" ht="5.45" customHeight="1" thickBot="1" x14ac:dyDescent="0.3">
      <c r="D15" s="37">
        <f t="shared" si="0"/>
        <v>31</v>
      </c>
      <c r="E15" s="38">
        <f t="shared" si="1"/>
        <v>32</v>
      </c>
      <c r="F15" s="38">
        <f t="shared" si="2"/>
        <v>33</v>
      </c>
      <c r="G15" s="38">
        <f t="shared" si="3"/>
        <v>34</v>
      </c>
      <c r="H15" s="38">
        <f t="shared" si="4"/>
        <v>35</v>
      </c>
      <c r="I15" s="38">
        <f t="shared" si="5"/>
        <v>36</v>
      </c>
      <c r="J15" s="38">
        <f t="shared" si="6"/>
        <v>37</v>
      </c>
      <c r="K15" s="38">
        <f t="shared" si="7"/>
        <v>38</v>
      </c>
      <c r="L15" s="38">
        <f t="shared" si="8"/>
        <v>39</v>
      </c>
      <c r="M15" s="39">
        <f t="shared" si="9"/>
        <v>40</v>
      </c>
    </row>
    <row r="16" spans="1:13" ht="5.45" customHeight="1" thickBot="1" x14ac:dyDescent="0.3">
      <c r="D16" s="37">
        <f t="shared" si="0"/>
        <v>21</v>
      </c>
      <c r="E16" s="38">
        <f t="shared" si="1"/>
        <v>22</v>
      </c>
      <c r="F16" s="38">
        <f t="shared" si="2"/>
        <v>23</v>
      </c>
      <c r="G16" s="38">
        <f t="shared" si="3"/>
        <v>24</v>
      </c>
      <c r="H16" s="38">
        <f t="shared" si="4"/>
        <v>25</v>
      </c>
      <c r="I16" s="38">
        <f t="shared" si="5"/>
        <v>26</v>
      </c>
      <c r="J16" s="38">
        <f t="shared" si="6"/>
        <v>27</v>
      </c>
      <c r="K16" s="38">
        <f t="shared" si="7"/>
        <v>28</v>
      </c>
      <c r="L16" s="38">
        <f t="shared" si="8"/>
        <v>29</v>
      </c>
      <c r="M16" s="39">
        <f t="shared" si="9"/>
        <v>30</v>
      </c>
    </row>
    <row r="17" spans="2:13" ht="5.45" customHeight="1" thickBot="1" x14ac:dyDescent="0.3">
      <c r="D17" s="37">
        <f>D18+10</f>
        <v>11</v>
      </c>
      <c r="E17" s="38">
        <f t="shared" ref="E17:M17" si="10">E18+10</f>
        <v>12</v>
      </c>
      <c r="F17" s="38">
        <f t="shared" si="10"/>
        <v>13</v>
      </c>
      <c r="G17" s="38">
        <f t="shared" si="10"/>
        <v>14</v>
      </c>
      <c r="H17" s="38">
        <f t="shared" si="10"/>
        <v>15</v>
      </c>
      <c r="I17" s="38">
        <f t="shared" si="10"/>
        <v>16</v>
      </c>
      <c r="J17" s="38">
        <f t="shared" si="10"/>
        <v>17</v>
      </c>
      <c r="K17" s="38">
        <f t="shared" si="10"/>
        <v>18</v>
      </c>
      <c r="L17" s="38">
        <f t="shared" si="10"/>
        <v>19</v>
      </c>
      <c r="M17" s="39">
        <f t="shared" si="10"/>
        <v>20</v>
      </c>
    </row>
    <row r="18" spans="2:13" ht="5.45" customHeight="1" x14ac:dyDescent="0.25">
      <c r="D18" s="40">
        <v>1</v>
      </c>
      <c r="E18" s="41">
        <f>D18+1</f>
        <v>2</v>
      </c>
      <c r="F18" s="41">
        <f t="shared" ref="F18:M18" si="11">E18+1</f>
        <v>3</v>
      </c>
      <c r="G18" s="41">
        <f t="shared" si="11"/>
        <v>4</v>
      </c>
      <c r="H18" s="41">
        <f t="shared" si="11"/>
        <v>5</v>
      </c>
      <c r="I18" s="41">
        <f t="shared" si="11"/>
        <v>6</v>
      </c>
      <c r="J18" s="41">
        <f t="shared" si="11"/>
        <v>7</v>
      </c>
      <c r="K18" s="41">
        <f t="shared" si="11"/>
        <v>8</v>
      </c>
      <c r="L18" s="41">
        <f t="shared" si="11"/>
        <v>9</v>
      </c>
      <c r="M18" s="42">
        <f t="shared" si="11"/>
        <v>10</v>
      </c>
    </row>
    <row r="22" spans="2:13" x14ac:dyDescent="0.25">
      <c r="B22" t="s">
        <v>43</v>
      </c>
    </row>
    <row r="23" spans="2:13" ht="5.45" customHeight="1" thickBot="1" x14ac:dyDescent="0.3">
      <c r="D23" s="34">
        <f t="shared" ref="D23:D30" si="12">D24+10</f>
        <v>91</v>
      </c>
      <c r="E23" s="35">
        <f t="shared" ref="E23:E31" si="13">E24+10</f>
        <v>92</v>
      </c>
      <c r="F23" s="35">
        <f t="shared" ref="F23:F31" si="14">F24+10</f>
        <v>93</v>
      </c>
      <c r="G23" s="35">
        <f t="shared" ref="G23:G31" si="15">G24+10</f>
        <v>94</v>
      </c>
      <c r="H23" s="35">
        <f t="shared" ref="H23:H31" si="16">H24+10</f>
        <v>95</v>
      </c>
      <c r="I23" s="35">
        <f t="shared" ref="I23:I31" si="17">I24+10</f>
        <v>96</v>
      </c>
      <c r="J23" s="35">
        <f t="shared" ref="J23:J31" si="18">J24+10</f>
        <v>97</v>
      </c>
      <c r="K23" s="35">
        <f t="shared" ref="K23:K31" si="19">K24+10</f>
        <v>98</v>
      </c>
      <c r="L23" s="35">
        <f t="shared" ref="L23:L31" si="20">L24+10</f>
        <v>99</v>
      </c>
      <c r="M23" s="36">
        <f t="shared" ref="M23:M31" si="21">M24+10</f>
        <v>100</v>
      </c>
    </row>
    <row r="24" spans="2:13" ht="5.45" customHeight="1" thickBot="1" x14ac:dyDescent="0.3">
      <c r="D24" s="37">
        <f t="shared" si="12"/>
        <v>81</v>
      </c>
      <c r="E24" s="38">
        <f t="shared" si="13"/>
        <v>82</v>
      </c>
      <c r="F24" s="38">
        <f t="shared" si="14"/>
        <v>83</v>
      </c>
      <c r="G24" s="38">
        <f t="shared" si="15"/>
        <v>84</v>
      </c>
      <c r="H24" s="38">
        <f t="shared" si="16"/>
        <v>85</v>
      </c>
      <c r="I24" s="38">
        <f t="shared" si="17"/>
        <v>86</v>
      </c>
      <c r="J24" s="38">
        <f t="shared" si="18"/>
        <v>87</v>
      </c>
      <c r="K24" s="38">
        <f t="shared" si="19"/>
        <v>88</v>
      </c>
      <c r="L24" s="38">
        <f t="shared" si="20"/>
        <v>89</v>
      </c>
      <c r="M24" s="39">
        <f t="shared" si="21"/>
        <v>90</v>
      </c>
    </row>
    <row r="25" spans="2:13" ht="5.45" customHeight="1" thickBot="1" x14ac:dyDescent="0.3">
      <c r="D25" s="37">
        <f t="shared" si="12"/>
        <v>71</v>
      </c>
      <c r="E25" s="38">
        <f t="shared" si="13"/>
        <v>72</v>
      </c>
      <c r="F25" s="38">
        <f t="shared" si="14"/>
        <v>73</v>
      </c>
      <c r="G25" s="38">
        <f t="shared" si="15"/>
        <v>74</v>
      </c>
      <c r="H25" s="38">
        <f t="shared" si="16"/>
        <v>75</v>
      </c>
      <c r="I25" s="38">
        <f t="shared" si="17"/>
        <v>76</v>
      </c>
      <c r="J25" s="38">
        <f t="shared" si="18"/>
        <v>77</v>
      </c>
      <c r="K25" s="38">
        <f t="shared" si="19"/>
        <v>78</v>
      </c>
      <c r="L25" s="38">
        <f t="shared" si="20"/>
        <v>79</v>
      </c>
      <c r="M25" s="39">
        <f t="shared" si="21"/>
        <v>80</v>
      </c>
    </row>
    <row r="26" spans="2:13" ht="5.45" customHeight="1" thickBot="1" x14ac:dyDescent="0.3">
      <c r="D26" s="37">
        <f t="shared" si="12"/>
        <v>61</v>
      </c>
      <c r="E26" s="38">
        <f t="shared" si="13"/>
        <v>62</v>
      </c>
      <c r="F26" s="38">
        <f t="shared" si="14"/>
        <v>63</v>
      </c>
      <c r="G26" s="38">
        <f t="shared" si="15"/>
        <v>64</v>
      </c>
      <c r="H26" s="38">
        <f t="shared" si="16"/>
        <v>65</v>
      </c>
      <c r="I26" s="38">
        <f t="shared" si="17"/>
        <v>66</v>
      </c>
      <c r="J26" s="38">
        <f t="shared" si="18"/>
        <v>67</v>
      </c>
      <c r="K26" s="38">
        <f t="shared" si="19"/>
        <v>68</v>
      </c>
      <c r="L26" s="38">
        <f t="shared" si="20"/>
        <v>69</v>
      </c>
      <c r="M26" s="39">
        <f t="shared" si="21"/>
        <v>70</v>
      </c>
    </row>
    <row r="27" spans="2:13" ht="5.45" customHeight="1" thickBot="1" x14ac:dyDescent="0.3">
      <c r="D27" s="37">
        <f t="shared" si="12"/>
        <v>51</v>
      </c>
      <c r="E27" s="38">
        <f t="shared" si="13"/>
        <v>52</v>
      </c>
      <c r="F27" s="38">
        <f t="shared" si="14"/>
        <v>53</v>
      </c>
      <c r="G27" s="38">
        <f t="shared" si="15"/>
        <v>54</v>
      </c>
      <c r="H27" s="38">
        <f t="shared" si="16"/>
        <v>55</v>
      </c>
      <c r="I27" s="38">
        <f t="shared" si="17"/>
        <v>56</v>
      </c>
      <c r="J27" s="38">
        <f t="shared" si="18"/>
        <v>57</v>
      </c>
      <c r="K27" s="38">
        <f t="shared" si="19"/>
        <v>58</v>
      </c>
      <c r="L27" s="38">
        <f t="shared" si="20"/>
        <v>59</v>
      </c>
      <c r="M27" s="39">
        <f t="shared" si="21"/>
        <v>60</v>
      </c>
    </row>
    <row r="28" spans="2:13" ht="5.45" customHeight="1" thickBot="1" x14ac:dyDescent="0.3">
      <c r="D28" s="37">
        <f t="shared" si="12"/>
        <v>41</v>
      </c>
      <c r="E28" s="38">
        <f t="shared" si="13"/>
        <v>42</v>
      </c>
      <c r="F28" s="38">
        <f t="shared" si="14"/>
        <v>43</v>
      </c>
      <c r="G28" s="38">
        <f t="shared" si="15"/>
        <v>44</v>
      </c>
      <c r="H28" s="38">
        <f t="shared" si="16"/>
        <v>45</v>
      </c>
      <c r="I28" s="38">
        <f t="shared" si="17"/>
        <v>46</v>
      </c>
      <c r="J28" s="38">
        <f t="shared" si="18"/>
        <v>47</v>
      </c>
      <c r="K28" s="38">
        <f t="shared" si="19"/>
        <v>48</v>
      </c>
      <c r="L28" s="38">
        <f t="shared" si="20"/>
        <v>49</v>
      </c>
      <c r="M28" s="39">
        <f t="shared" si="21"/>
        <v>50</v>
      </c>
    </row>
    <row r="29" spans="2:13" ht="5.45" customHeight="1" thickBot="1" x14ac:dyDescent="0.3">
      <c r="D29" s="37">
        <f t="shared" si="12"/>
        <v>31</v>
      </c>
      <c r="E29" s="38">
        <f t="shared" si="13"/>
        <v>32</v>
      </c>
      <c r="F29" s="38">
        <f t="shared" si="14"/>
        <v>33</v>
      </c>
      <c r="G29" s="38">
        <f t="shared" si="15"/>
        <v>34</v>
      </c>
      <c r="H29" s="38">
        <f t="shared" si="16"/>
        <v>35</v>
      </c>
      <c r="I29" s="38">
        <f t="shared" si="17"/>
        <v>36</v>
      </c>
      <c r="J29" s="38">
        <f t="shared" si="18"/>
        <v>37</v>
      </c>
      <c r="K29" s="38">
        <f t="shared" si="19"/>
        <v>38</v>
      </c>
      <c r="L29" s="38">
        <f t="shared" si="20"/>
        <v>39</v>
      </c>
      <c r="M29" s="39">
        <f t="shared" si="21"/>
        <v>40</v>
      </c>
    </row>
    <row r="30" spans="2:13" ht="5.45" customHeight="1" thickBot="1" x14ac:dyDescent="0.3">
      <c r="D30" s="37">
        <f t="shared" si="12"/>
        <v>21</v>
      </c>
      <c r="E30" s="38">
        <f t="shared" si="13"/>
        <v>22</v>
      </c>
      <c r="F30" s="38">
        <f t="shared" si="14"/>
        <v>23</v>
      </c>
      <c r="G30" s="38">
        <f t="shared" si="15"/>
        <v>24</v>
      </c>
      <c r="H30" s="38">
        <f t="shared" si="16"/>
        <v>25</v>
      </c>
      <c r="I30" s="38">
        <f t="shared" si="17"/>
        <v>26</v>
      </c>
      <c r="J30" s="38">
        <f t="shared" si="18"/>
        <v>27</v>
      </c>
      <c r="K30" s="38">
        <f t="shared" si="19"/>
        <v>28</v>
      </c>
      <c r="L30" s="38">
        <f t="shared" si="20"/>
        <v>29</v>
      </c>
      <c r="M30" s="39">
        <f t="shared" si="21"/>
        <v>30</v>
      </c>
    </row>
    <row r="31" spans="2:13" ht="5.45" customHeight="1" thickBot="1" x14ac:dyDescent="0.3">
      <c r="D31" s="37">
        <f>D32+10</f>
        <v>11</v>
      </c>
      <c r="E31" s="38">
        <f t="shared" si="13"/>
        <v>12</v>
      </c>
      <c r="F31" s="38">
        <f t="shared" si="14"/>
        <v>13</v>
      </c>
      <c r="G31" s="38">
        <f t="shared" si="15"/>
        <v>14</v>
      </c>
      <c r="H31" s="38">
        <f t="shared" si="16"/>
        <v>15</v>
      </c>
      <c r="I31" s="38">
        <f t="shared" si="17"/>
        <v>16</v>
      </c>
      <c r="J31" s="38">
        <f t="shared" si="18"/>
        <v>17</v>
      </c>
      <c r="K31" s="38">
        <f t="shared" si="19"/>
        <v>18</v>
      </c>
      <c r="L31" s="38">
        <f t="shared" si="20"/>
        <v>19</v>
      </c>
      <c r="M31" s="39">
        <f t="shared" si="21"/>
        <v>20</v>
      </c>
    </row>
    <row r="32" spans="2:13" ht="5.45" customHeight="1" x14ac:dyDescent="0.25">
      <c r="D32" s="40">
        <v>1</v>
      </c>
      <c r="E32" s="41">
        <f>D32+1</f>
        <v>2</v>
      </c>
      <c r="F32" s="41">
        <f t="shared" ref="F32:M32" si="22">E32+1</f>
        <v>3</v>
      </c>
      <c r="G32" s="41">
        <f t="shared" si="22"/>
        <v>4</v>
      </c>
      <c r="H32" s="41">
        <f t="shared" si="22"/>
        <v>5</v>
      </c>
      <c r="I32" s="41">
        <f t="shared" si="22"/>
        <v>6</v>
      </c>
      <c r="J32" s="41">
        <f t="shared" si="22"/>
        <v>7</v>
      </c>
      <c r="K32" s="41">
        <f t="shared" si="22"/>
        <v>8</v>
      </c>
      <c r="L32" s="41">
        <f t="shared" si="22"/>
        <v>9</v>
      </c>
      <c r="M32" s="42">
        <f t="shared" si="22"/>
        <v>10</v>
      </c>
    </row>
  </sheetData>
  <conditionalFormatting sqref="D9:M18">
    <cfRule type="cellIs" dxfId="33" priority="3" operator="lessThanOrEqual">
      <formula>$B$3*100</formula>
    </cfRule>
    <cfRule type="cellIs" dxfId="32" priority="4" operator="lessThanOrEqual">
      <formula>$B$3*100</formula>
    </cfRule>
  </conditionalFormatting>
  <conditionalFormatting sqref="D23:M32">
    <cfRule type="cellIs" dxfId="31" priority="1" operator="lessThanOrEqual">
      <formula>$B$4*100</formula>
    </cfRule>
    <cfRule type="cellIs" dxfId="30" priority="2" operator="lessThanOrEqual">
      <formula>$B$4*100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
  <sheetViews>
    <sheetView showGridLines="0" zoomScale="70" zoomScaleNormal="70" workbookViewId="0"/>
  </sheetViews>
  <sheetFormatPr defaultRowHeight="15" x14ac:dyDescent="0.25"/>
  <cols>
    <col min="1" max="1" width="9.7109375" style="65" customWidth="1"/>
    <col min="2" max="2" width="0.85546875" style="81" customWidth="1"/>
    <col min="3" max="3" width="15.42578125" style="7" bestFit="1" customWidth="1"/>
    <col min="4" max="4" width="18.85546875" style="7" bestFit="1" customWidth="1"/>
    <col min="5" max="5" width="20" style="7" bestFit="1" customWidth="1"/>
    <col min="6" max="6" width="13" style="7" bestFit="1" customWidth="1"/>
    <col min="7" max="16384" width="9.140625" style="7"/>
  </cols>
  <sheetData>
    <row r="1" spans="15:20" x14ac:dyDescent="0.25">
      <c r="O1" s="6"/>
      <c r="P1" s="6"/>
      <c r="Q1" s="6"/>
      <c r="R1" s="6"/>
      <c r="S1" s="6"/>
      <c r="T1" s="6"/>
    </row>
  </sheetData>
  <pageMargins left="0.7" right="0.7" top="0.75" bottom="0.75" header="0.3" footer="0.3"/>
  <pageSetup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Option Button 1">
              <controlPr defaultSize="0" autoFill="0" autoLine="0" autoPict="0">
                <anchor moveWithCells="1">
                  <from>
                    <xdr:col>5</xdr:col>
                    <xdr:colOff>809625</xdr:colOff>
                    <xdr:row>8</xdr:row>
                    <xdr:rowOff>76200</xdr:rowOff>
                  </from>
                  <to>
                    <xdr:col>7</xdr:col>
                    <xdr:colOff>9525</xdr:colOff>
                    <xdr:row>10</xdr:row>
                    <xdr:rowOff>9525</xdr:rowOff>
                  </to>
                </anchor>
              </controlPr>
            </control>
          </mc:Choice>
        </mc:AlternateContent>
        <mc:AlternateContent xmlns:mc="http://schemas.openxmlformats.org/markup-compatibility/2006">
          <mc:Choice Requires="x14">
            <control shapeId="5122" r:id="rId5" name="Option Button 2">
              <controlPr defaultSize="0" autoFill="0" autoLine="0" autoPict="0">
                <anchor moveWithCells="1">
                  <from>
                    <xdr:col>8</xdr:col>
                    <xdr:colOff>190500</xdr:colOff>
                    <xdr:row>8</xdr:row>
                    <xdr:rowOff>123825</xdr:rowOff>
                  </from>
                  <to>
                    <xdr:col>9</xdr:col>
                    <xdr:colOff>161925</xdr:colOff>
                    <xdr:row>9</xdr:row>
                    <xdr:rowOff>152400</xdr:rowOff>
                  </to>
                </anchor>
              </controlPr>
            </control>
          </mc:Choice>
        </mc:AlternateContent>
        <mc:AlternateContent xmlns:mc="http://schemas.openxmlformats.org/markup-compatibility/2006">
          <mc:Choice Requires="x14">
            <control shapeId="5123" r:id="rId6" name="Drop Down 3">
              <controlPr defaultSize="0" autoLine="0" autoPict="0">
                <anchor moveWithCells="1">
                  <from>
                    <xdr:col>9</xdr:col>
                    <xdr:colOff>133350</xdr:colOff>
                    <xdr:row>8</xdr:row>
                    <xdr:rowOff>142875</xdr:rowOff>
                  </from>
                  <to>
                    <xdr:col>10</xdr:col>
                    <xdr:colOff>561975</xdr:colOff>
                    <xdr:row>9</xdr:row>
                    <xdr:rowOff>152400</xdr:rowOff>
                  </to>
                </anchor>
              </controlPr>
            </control>
          </mc:Choice>
        </mc:AlternateContent>
        <mc:AlternateContent xmlns:mc="http://schemas.openxmlformats.org/markup-compatibility/2006">
          <mc:Choice Requires="x14">
            <control shapeId="5132" r:id="rId7" name="Option Button 12">
              <controlPr defaultSize="0" autoFill="0" autoLine="0" autoPict="0">
                <anchor moveWithCells="1">
                  <from>
                    <xdr:col>12</xdr:col>
                    <xdr:colOff>47625</xdr:colOff>
                    <xdr:row>11</xdr:row>
                    <xdr:rowOff>9525</xdr:rowOff>
                  </from>
                  <to>
                    <xdr:col>12</xdr:col>
                    <xdr:colOff>352425</xdr:colOff>
                    <xdr:row>12</xdr:row>
                    <xdr:rowOff>38100</xdr:rowOff>
                  </to>
                </anchor>
              </controlPr>
            </control>
          </mc:Choice>
        </mc:AlternateContent>
        <mc:AlternateContent xmlns:mc="http://schemas.openxmlformats.org/markup-compatibility/2006">
          <mc:Choice Requires="x14">
            <control shapeId="5133" r:id="rId8" name="Option Button 13">
              <controlPr defaultSize="0" autoFill="0" autoLine="0" autoPict="0">
                <anchor moveWithCells="1">
                  <from>
                    <xdr:col>14</xdr:col>
                    <xdr:colOff>352425</xdr:colOff>
                    <xdr:row>10</xdr:row>
                    <xdr:rowOff>180975</xdr:rowOff>
                  </from>
                  <to>
                    <xdr:col>15</xdr:col>
                    <xdr:colOff>47625</xdr:colOff>
                    <xdr:row>12</xdr:row>
                    <xdr:rowOff>19050</xdr:rowOff>
                  </to>
                </anchor>
              </controlPr>
            </control>
          </mc:Choice>
        </mc:AlternateContent>
        <mc:AlternateContent xmlns:mc="http://schemas.openxmlformats.org/markup-compatibility/2006">
          <mc:Choice Requires="x14">
            <control shapeId="5134" r:id="rId9" name="Group Box 14">
              <controlPr defaultSize="0" autoFill="0" autoPict="0">
                <anchor moveWithCells="1">
                  <from>
                    <xdr:col>11</xdr:col>
                    <xdr:colOff>266700</xdr:colOff>
                    <xdr:row>10</xdr:row>
                    <xdr:rowOff>104775</xdr:rowOff>
                  </from>
                  <to>
                    <xdr:col>15</xdr:col>
                    <xdr:colOff>209550</xdr:colOff>
                    <xdr:row>12</xdr:row>
                    <xdr:rowOff>66675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N1:S1"/>
  <sheetViews>
    <sheetView showGridLines="0" zoomScale="80" zoomScaleNormal="80" workbookViewId="0"/>
  </sheetViews>
  <sheetFormatPr defaultRowHeight="15" x14ac:dyDescent="0.25"/>
  <cols>
    <col min="1" max="1" width="2" style="7" customWidth="1"/>
    <col min="2" max="2" width="15.42578125" style="7" bestFit="1" customWidth="1"/>
    <col min="3" max="3" width="18.85546875" style="7" bestFit="1" customWidth="1"/>
    <col min="4" max="4" width="20" style="7" bestFit="1" customWidth="1"/>
    <col min="5" max="5" width="13" style="7" bestFit="1" customWidth="1"/>
    <col min="6" max="16384" width="9.140625" style="7"/>
  </cols>
  <sheetData>
    <row r="1" spans="14:19" x14ac:dyDescent="0.25">
      <c r="N1" s="6"/>
      <c r="O1" s="6"/>
      <c r="P1" s="6"/>
      <c r="Q1" s="6"/>
      <c r="R1" s="6"/>
      <c r="S1" s="6"/>
    </row>
  </sheetData>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N1:S1"/>
  <sheetViews>
    <sheetView showGridLines="0" tabSelected="1" zoomScale="80" zoomScaleNormal="80" workbookViewId="0"/>
  </sheetViews>
  <sheetFormatPr defaultRowHeight="15" x14ac:dyDescent="0.25"/>
  <cols>
    <col min="1" max="1" width="3.85546875" style="7" customWidth="1"/>
    <col min="2" max="2" width="15.42578125" style="7" bestFit="1" customWidth="1"/>
    <col min="3" max="3" width="18.85546875" style="7" bestFit="1" customWidth="1"/>
    <col min="4" max="4" width="20" style="7" bestFit="1" customWidth="1"/>
    <col min="5" max="5" width="13" style="7" bestFit="1" customWidth="1"/>
    <col min="6" max="16384" width="9.140625" style="7"/>
  </cols>
  <sheetData>
    <row r="1" spans="14:19" x14ac:dyDescent="0.25">
      <c r="N1" s="6"/>
      <c r="O1" s="6"/>
      <c r="P1" s="6"/>
      <c r="Q1" s="6"/>
      <c r="R1" s="6"/>
      <c r="S1" s="6"/>
    </row>
  </sheetData>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N1:S1"/>
  <sheetViews>
    <sheetView showGridLines="0" workbookViewId="0">
      <selection activeCell="A4" sqref="A1:B1048576"/>
    </sheetView>
  </sheetViews>
  <sheetFormatPr defaultRowHeight="15" x14ac:dyDescent="0.25"/>
  <cols>
    <col min="1" max="1" width="16.85546875" style="7" bestFit="1" customWidth="1"/>
    <col min="2" max="2" width="15.42578125" style="7" bestFit="1" customWidth="1"/>
    <col min="3" max="3" width="18.85546875" style="7" bestFit="1" customWidth="1"/>
    <col min="4" max="4" width="20" style="7" bestFit="1" customWidth="1"/>
    <col min="5" max="5" width="13" style="7" bestFit="1" customWidth="1"/>
    <col min="6" max="16384" width="9.140625" style="7"/>
  </cols>
  <sheetData>
    <row r="1" spans="14:19" x14ac:dyDescent="0.25">
      <c r="N1" s="6"/>
      <c r="O1" s="6"/>
      <c r="P1" s="6"/>
      <c r="Q1" s="6"/>
      <c r="R1" s="6"/>
      <c r="S1" s="6"/>
    </row>
  </sheetData>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9"/>
  <sheetViews>
    <sheetView workbookViewId="0">
      <selection activeCell="C14" sqref="C14"/>
    </sheetView>
  </sheetViews>
  <sheetFormatPr defaultRowHeight="15" x14ac:dyDescent="0.25"/>
  <cols>
    <col min="1" max="1" width="13.85546875" bestFit="1" customWidth="1"/>
    <col min="2" max="2" width="7.7109375" customWidth="1"/>
    <col min="3" max="3" width="12.7109375" customWidth="1"/>
    <col min="4" max="4" width="14.85546875" customWidth="1"/>
    <col min="5" max="5" width="13.5703125" customWidth="1"/>
    <col min="6" max="6" width="12.28515625" customWidth="1"/>
    <col min="7" max="7" width="11.85546875" customWidth="1"/>
    <col min="8" max="8" width="10.140625" customWidth="1"/>
    <col min="9" max="9" width="9.42578125" customWidth="1"/>
    <col min="10" max="10" width="13.42578125" customWidth="1"/>
    <col min="11" max="11" width="11.42578125" customWidth="1"/>
    <col min="15" max="15" width="14.85546875" bestFit="1" customWidth="1"/>
    <col min="16" max="16" width="13.85546875" bestFit="1" customWidth="1"/>
    <col min="17" max="24" width="11.42578125" bestFit="1" customWidth="1"/>
    <col min="25" max="25" width="11.28515625" bestFit="1" customWidth="1"/>
    <col min="26" max="26" width="13.85546875" bestFit="1" customWidth="1"/>
    <col min="27" max="27" width="11.42578125" customWidth="1"/>
    <col min="28" max="28" width="11.42578125" bestFit="1" customWidth="1"/>
  </cols>
  <sheetData>
    <row r="3" spans="1:26" x14ac:dyDescent="0.25">
      <c r="A3" t="s">
        <v>0</v>
      </c>
      <c r="B3" t="s">
        <v>1</v>
      </c>
      <c r="C3" t="s">
        <v>2</v>
      </c>
      <c r="D3" t="s">
        <v>3</v>
      </c>
      <c r="E3" t="s">
        <v>4</v>
      </c>
      <c r="F3" t="s">
        <v>5</v>
      </c>
      <c r="G3" t="s">
        <v>6</v>
      </c>
      <c r="H3" t="s">
        <v>7</v>
      </c>
      <c r="I3" t="s">
        <v>9</v>
      </c>
      <c r="J3" t="s">
        <v>8</v>
      </c>
      <c r="K3" t="s">
        <v>10</v>
      </c>
      <c r="O3" s="8" t="s">
        <v>22</v>
      </c>
      <c r="P3" t="s">
        <v>0</v>
      </c>
      <c r="Q3" t="s">
        <v>10</v>
      </c>
      <c r="S3" t="str">
        <f>O3</f>
        <v>Store Name</v>
      </c>
      <c r="T3" t="str">
        <f t="shared" ref="T3:U14" si="0">P3</f>
        <v>Total Revenue</v>
      </c>
      <c r="U3" t="str">
        <f t="shared" si="0"/>
        <v>Total Target</v>
      </c>
      <c r="Y3" s="8" t="s">
        <v>23</v>
      </c>
      <c r="Z3" t="s">
        <v>0</v>
      </c>
    </row>
    <row r="4" spans="1:26" x14ac:dyDescent="0.25">
      <c r="A4" s="9">
        <v>443447.43000000028</v>
      </c>
      <c r="B4" s="9">
        <v>253362.6100000001</v>
      </c>
      <c r="C4" s="9">
        <v>190084.82000000018</v>
      </c>
      <c r="D4" s="2">
        <v>0.42865243350265908</v>
      </c>
      <c r="E4" s="3">
        <v>1623</v>
      </c>
      <c r="F4" s="9">
        <v>36451.81</v>
      </c>
      <c r="G4" s="2">
        <v>8.2200972503099171E-2</v>
      </c>
      <c r="H4" s="5">
        <v>100</v>
      </c>
      <c r="I4" s="3">
        <v>49212</v>
      </c>
      <c r="J4" s="3">
        <v>4040</v>
      </c>
      <c r="K4" s="9">
        <v>446912</v>
      </c>
      <c r="O4" t="s">
        <v>11</v>
      </c>
      <c r="P4" s="1">
        <v>48516.549999999996</v>
      </c>
      <c r="Q4" s="4">
        <v>32678</v>
      </c>
      <c r="S4" t="str">
        <f t="shared" ref="S4:S14" si="1">O4</f>
        <v>Barron-Fleming</v>
      </c>
      <c r="T4">
        <f t="shared" si="0"/>
        <v>48516.549999999996</v>
      </c>
      <c r="U4">
        <f t="shared" si="0"/>
        <v>32678</v>
      </c>
      <c r="Y4" t="s">
        <v>34</v>
      </c>
      <c r="Z4" s="1">
        <v>443447.43000000028</v>
      </c>
    </row>
    <row r="5" spans="1:26" x14ac:dyDescent="0.25">
      <c r="O5" t="s">
        <v>12</v>
      </c>
      <c r="P5" s="1">
        <v>37484.260000000009</v>
      </c>
      <c r="Q5" s="4">
        <v>48154</v>
      </c>
      <c r="S5" t="str">
        <f t="shared" si="1"/>
        <v>Berg-Trujillo</v>
      </c>
      <c r="T5">
        <f t="shared" si="0"/>
        <v>37484.260000000009</v>
      </c>
      <c r="U5">
        <f t="shared" si="0"/>
        <v>48154</v>
      </c>
      <c r="Y5" t="s">
        <v>21</v>
      </c>
      <c r="Z5" s="1">
        <v>443447.43000000028</v>
      </c>
    </row>
    <row r="6" spans="1:26" x14ac:dyDescent="0.25">
      <c r="O6" t="s">
        <v>13</v>
      </c>
      <c r="P6" s="1">
        <v>46473.150000000009</v>
      </c>
      <c r="Q6" s="4">
        <v>31909</v>
      </c>
      <c r="S6" t="str">
        <f t="shared" si="1"/>
        <v>Lee-Myers</v>
      </c>
      <c r="T6">
        <f t="shared" si="0"/>
        <v>46473.150000000009</v>
      </c>
      <c r="U6">
        <f t="shared" si="0"/>
        <v>31909</v>
      </c>
    </row>
    <row r="7" spans="1:26" x14ac:dyDescent="0.25">
      <c r="O7" t="s">
        <v>14</v>
      </c>
      <c r="P7" s="1">
        <v>37394.280000000006</v>
      </c>
      <c r="Q7" s="4">
        <v>33894</v>
      </c>
      <c r="S7" t="str">
        <f t="shared" si="1"/>
        <v>Lopez</v>
      </c>
      <c r="T7">
        <f t="shared" si="0"/>
        <v>37394.280000000006</v>
      </c>
      <c r="U7">
        <f t="shared" si="0"/>
        <v>33894</v>
      </c>
    </row>
    <row r="8" spans="1:26" x14ac:dyDescent="0.25">
      <c r="O8" t="s">
        <v>15</v>
      </c>
      <c r="P8" s="1">
        <v>43627.72</v>
      </c>
      <c r="Q8" s="4">
        <v>56656</v>
      </c>
      <c r="S8" t="str">
        <f t="shared" si="1"/>
        <v>Martinez</v>
      </c>
      <c r="T8">
        <f t="shared" si="0"/>
        <v>43627.72</v>
      </c>
      <c r="U8">
        <f t="shared" si="0"/>
        <v>56656</v>
      </c>
    </row>
    <row r="9" spans="1:26" x14ac:dyDescent="0.25">
      <c r="C9" t="s">
        <v>35</v>
      </c>
      <c r="D9" t="s">
        <v>36</v>
      </c>
      <c r="O9" t="s">
        <v>16</v>
      </c>
      <c r="P9" s="1">
        <v>54290.48000000001</v>
      </c>
      <c r="Q9" s="4">
        <v>54604</v>
      </c>
      <c r="S9" t="str">
        <f t="shared" si="1"/>
        <v>Miller</v>
      </c>
      <c r="T9">
        <f t="shared" si="0"/>
        <v>54290.48000000001</v>
      </c>
      <c r="U9">
        <f t="shared" si="0"/>
        <v>54604</v>
      </c>
    </row>
    <row r="10" spans="1:26" x14ac:dyDescent="0.25">
      <c r="C10" s="12">
        <f>GETPIVOTDATA("[Measures].[Total Revenue]",$A$3)</f>
        <v>443447.43000000028</v>
      </c>
      <c r="D10" s="12">
        <f>GETPIVOTDATA("[Measures].[Total Target]",$A$3)</f>
        <v>446912</v>
      </c>
      <c r="F10" s="14">
        <f>(C10-D10)/D10</f>
        <v>-7.7522420521259575E-3</v>
      </c>
      <c r="O10" t="s">
        <v>17</v>
      </c>
      <c r="P10" s="1">
        <v>37631.01</v>
      </c>
      <c r="Q10" s="4">
        <v>37827</v>
      </c>
      <c r="S10" t="str">
        <f t="shared" si="1"/>
        <v>Myers-Lopez</v>
      </c>
      <c r="T10">
        <f t="shared" si="0"/>
        <v>37631.01</v>
      </c>
      <c r="U10">
        <f t="shared" si="0"/>
        <v>37827</v>
      </c>
    </row>
    <row r="11" spans="1:26" x14ac:dyDescent="0.25">
      <c r="O11" t="s">
        <v>18</v>
      </c>
      <c r="P11" s="1">
        <v>49285.889999999992</v>
      </c>
      <c r="Q11" s="4">
        <v>69716</v>
      </c>
      <c r="S11" t="str">
        <f t="shared" si="1"/>
        <v>Novak PLC</v>
      </c>
      <c r="T11">
        <f t="shared" si="0"/>
        <v>49285.889999999992</v>
      </c>
      <c r="U11">
        <f t="shared" si="0"/>
        <v>69716</v>
      </c>
    </row>
    <row r="12" spans="1:26" x14ac:dyDescent="0.25">
      <c r="E12" t="b">
        <f>C14&gt;0</f>
        <v>1</v>
      </c>
      <c r="F12" s="10"/>
      <c r="O12" t="s">
        <v>19</v>
      </c>
      <c r="P12" s="1">
        <v>45326.530000000006</v>
      </c>
      <c r="Q12" s="4">
        <v>45680</v>
      </c>
      <c r="S12" t="str">
        <f t="shared" si="1"/>
        <v>Thomas</v>
      </c>
      <c r="T12">
        <f t="shared" si="0"/>
        <v>45326.530000000006</v>
      </c>
      <c r="U12">
        <f t="shared" si="0"/>
        <v>45680</v>
      </c>
    </row>
    <row r="13" spans="1:26" x14ac:dyDescent="0.25">
      <c r="C13" s="15" t="s">
        <v>37</v>
      </c>
      <c r="E13" t="b">
        <f>C14&lt;0</f>
        <v>0</v>
      </c>
      <c r="F13" s="11"/>
      <c r="O13" t="s">
        <v>20</v>
      </c>
      <c r="P13" s="1">
        <v>43417.560000000012</v>
      </c>
      <c r="Q13" s="4">
        <v>35794</v>
      </c>
      <c r="S13" t="str">
        <f t="shared" si="1"/>
        <v>Valdez</v>
      </c>
      <c r="T13">
        <f t="shared" si="0"/>
        <v>43417.560000000012</v>
      </c>
      <c r="U13">
        <f t="shared" si="0"/>
        <v>35794</v>
      </c>
    </row>
    <row r="14" spans="1:26" ht="18.75" x14ac:dyDescent="0.3">
      <c r="C14" s="16" t="str">
        <f>IF((C10-D10)/D10&gt;=0,"↑"&amp;TEXT((C10-D10)/D10,"+0.0%;-0.0%"),"↓"&amp;TEXT((C10-D10)/D10,"+0.0%;-0.0%"))</f>
        <v>↓-0.8%</v>
      </c>
      <c r="O14" t="s">
        <v>21</v>
      </c>
      <c r="P14" s="1">
        <v>443447.43000000028</v>
      </c>
      <c r="Q14" s="4">
        <v>446912</v>
      </c>
      <c r="S14" t="str">
        <f t="shared" si="1"/>
        <v>Grand Total</v>
      </c>
      <c r="T14">
        <f t="shared" si="0"/>
        <v>443447.43000000028</v>
      </c>
      <c r="U14">
        <f t="shared" si="0"/>
        <v>446912</v>
      </c>
    </row>
    <row r="18" spans="1:4" x14ac:dyDescent="0.25">
      <c r="A18" t="s">
        <v>0</v>
      </c>
      <c r="B18" t="s">
        <v>10</v>
      </c>
      <c r="C18" s="13" t="s">
        <v>37</v>
      </c>
    </row>
    <row r="19" spans="1:4" ht="18.75" x14ac:dyDescent="0.3">
      <c r="A19" s="12">
        <v>443447.43000000028</v>
      </c>
      <c r="B19" s="12">
        <v>446912</v>
      </c>
      <c r="C19" s="17" t="str">
        <f>IF((C10-D10)/D10&gt;=0,"↑"&amp;TEXT((C10-D10)/D10,"+0.0%;-0.0%"),"↓"&amp;TEXT((C10-D10)/D10,"+0.0%;-0.0%"))</f>
        <v>↓-0.8%</v>
      </c>
      <c r="D19" s="14">
        <f>(GETPIVOTDATA("[Measures].[Total Revenue]",$A$18)-GETPIVOTDATA("[Measures].[Total Target]",$A$18))/GETPIVOTDATA("[Measures].[Total Target]",$A$18)</f>
        <v>-7.7522420521259575E-3</v>
      </c>
    </row>
  </sheetData>
  <conditionalFormatting sqref="C14">
    <cfRule type="expression" dxfId="29" priority="3">
      <formula>$C$14&gt;0</formula>
    </cfRule>
    <cfRule type="expression" dxfId="28" priority="4">
      <formula>$F$10&lt;0</formula>
    </cfRule>
  </conditionalFormatting>
  <conditionalFormatting sqref="C19">
    <cfRule type="expression" dxfId="27" priority="1">
      <formula>$D$19&lt;0</formula>
    </cfRule>
    <cfRule type="expression" dxfId="26" priority="2">
      <formula>$D$19&gt;0</formula>
    </cfRule>
  </conditionalFormatting>
  <pageMargins left="0.7" right="0.7" top="0.75" bottom="0.75" header="0.3" footer="0.3"/>
  <pageSetup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e _ 8 6 4 d 3 6 d c - 4 3 c 7 - 4 1 b d - 9 3 f 0 - 1 c 9 5 8 0 8 c a e e 9 " > < 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 1 0 4 < / i n t > < / v a l u e > < / i t e m > < i t e m > < k e y > < s t r i n g > Y e a r < / s t r i n g > < / k e y > < v a l u e > < i n t > 6 2 < / i n t > < / v a l u e > < / i t e m > < i t e m > < k e y > < s t r i n g > M o n t h < / s t r i n g > < / k e y > < v a l u e > < i n t > 7 7 < / i n t > < / v a l u e > < / i t e m > < i t e m > < k e y > < s t r i n g > M o n t h   N o . < / s t r i n g > < / k e y > < v a l u e > < i n t > 1 0 2 < / i n t > < / v a l u e > < / i t e m > < i t e m > < k e y > < s t r i n g > D a y   N a m e < / s t r i n g > < / k e y > < v a l u e > < i n t > 9 9 < / i n t > < / v a l u e > < / i t e m > < i t e m > < k e y > < s t r i n g > W e e k   N o < / s t r i n g > < / k e y > < v a l u e > < i n t > 9 2 < / i n t > < / v a l u e > < / i t e m > < i t e m > < k e y > < s t r i n g > W e e k T y p e < / s t r i n g > < / k e y > < v a l u e > < i n t > 1 0 0 < / i n t > < / v a l u e > < / i t e m > < i t e m > < k e y > < s t r i n g > Q u a r t e r < / s t r i n g > < / k e y > < v a l u e > < i n t > 8 4 < / i n t > < / v a l u e > < / i t e m > < / C o l u m n W i d t h s > < C o l u m n D i s p l a y I n d e x > < i t e m > < k e y > < s t r i n g > O r d e r   D a t e < / s t r i n g > < / k e y > < v a l u e > < i n t > 0 < / i n t > < / v a l u e > < / i t e m > < i t e m > < k e y > < s t r i n g > Y e a r < / s t r i n g > < / k e y > < v a l u e > < i n t > 1 < / i n t > < / v a l u e > < / i t e m > < i t e m > < k e y > < s t r i n g > M o n t h < / s t r i n g > < / k e y > < v a l u e > < i n t > 2 < / i n t > < / v a l u e > < / i t e m > < i t e m > < k e y > < s t r i n g > M o n t h   N o . < / s t r i n g > < / k e y > < v a l u e > < i n t > 3 < / i n t > < / v a l u e > < / i t e m > < i t e m > < k e y > < s t r i n g > D a y   N a m e < / s t r i n g > < / k e y > < v a l u e > < i n t > 4 < / i n t > < / v a l u e > < / i t e m > < i t e m > < k e y > < s t r i n g > W e e k   N o < / s t r i n g > < / k e y > < v a l u e > < i n t > 5 < / i n t > < / v a l u e > < / i t e m > < i t e m > < k e y > < s t r i n g > W e e k T y p e < / s t r i n g > < / k e y > < v a l u e > < i n t > 6 < / i n t > < / v a l u e > < / i t e m > < i t e m > < k e y > < s t r i n g > Q u a r t e r < / 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4 5 f a d 2 f 8 - 7 f b c - 4 6 d 1 - a 9 c e - c f 3 9 8 3 2 a 4 9 5 3 " > < 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  % < / M e a s u r e N a m e > < D i s p l a y N a m e > P r o f i t   M a r g i n   % < / 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C a l c u l a t e d F i e l d s > < S A H o s t H a s h > 0 < / S A H o s t H a s h > < G e m i n i F i e l d L i s t V i s i b l e > T r u e < / G e m i n i F i e l d L i s t V i s i b l e > < / S e t t i n g s > ] ] > < / C u s t o m C o n t e n t > < / G e m i n i > 
</file>

<file path=customXml/item12.xml>��< ? x m l   v e r s i o n = " 1 . 0 "   e n c o d i n g = " U T F - 1 6 " ? > < G e m i n i   x m l n s = " h t t p : / / g e m i n i / p i v o t c u s t o m i z a t i o n / 8 e 1 4 d 2 6 6 - e b 7 0 - 4 c 1 5 - 9 e 0 1 - b 6 a 2 9 b 3 6 b 6 7 1 " > < 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  % < / M e a s u r e N a m e > < D i s p l a y N a m e > P r o f i t   M a r g i n   % < / 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i t e m > < M e a s u r e N a m e > A v e r a g e   C u s t o m e r   A g e < / M e a s u r e N a m e > < D i s p l a y N a m e > A v e r a g e   C u s t o m e r   A g e < / D i s p l a y N a m e > < V i s i b l e > F a l s e < / V i s i b l e > < / i t e m > < i t e m > < M e a s u r e N a m e > R e t u r n   R a t e < / M e a s u r e N a m e > < D i s p l a y N a m e > R e t u r n   R a t e < / D i s p l a y N a m e > < V i s i b l e > T r u e < / V i s i b l e > < / i t e m > < / C a l c u l a t e d F i e l d s > < S A H o s t H a s h > 0 < / S A H o s t H a s h > < G e m i n i F i e l d L i s t V i s i b l e > T r u e < / G e m i n i F i e l d L i s t V i s i b l e > < / S e t t i n g s > ] ] > < / C u s t o m C o n t e n t > < / G e m i n i > 
</file>

<file path=customXml/item13.xml>��< ? x m l   v e r s i o n = " 1 . 0 "   e n c o d i n g = " U T F - 1 6 " ? > < G e m i n i   x m l n s = " h t t p : / / g e m i n i / p i v o t c u s t o m i z a t i o n / T a b l e X M L _ m o n t h l y _ s t o r e _ t a r g e t s _ 8 7 5 1 1 e b d - 9 4 7 5 - 4 4 5 0 - 8 e e 4 - 3 6 2 4 2 c e 0 1 5 8 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 / & g t ; & l t ; C o l u m n W i d t h s & g t ; & l t ; i t e m & g t ; & l t ; k e y & g t ; & l t ; s t r i n g & g t ; S t o r e   I D & l t ; / s t r i n g & g t ; & l t ; / k e y & g t ; & l t ; v a l u e & g t ; & l t ; i n t & g t ; 8 5 & l t ; / i n t & g t ; & l t ; / v a l u e & g t ; & l t ; / i t e m & g t ; & l t ; i t e m & g t ; & l t ; k e y & g t ; & l t ; s t r i n g & g t ; D a t e & l t ; / s t r i n g & g t ; & l t ; / k e y & g t ; & l t ; v a l u e & g t ; & l t ; i n t & g t ; 6 5 & l t ; / i n t & g t ; & l t ; / v a l u e & g t ; & l t ; / i t e m & g t ; & l t ; i t e m & g t ; & l t ; k e y & g t ; & l t ; s t r i n g & g t ; M o n t h l y   T a r g e t & l t ; / s t r i n g & g t ; & l t ; / k e y & g t ; & l t ; v a l u e & g t ; & l t ; i n t & g t ; 1 2 9 & l t ; / i n t & g t ; & l t ; / v a l u e & g t ; & l t ; / i t e m & g t ; & l t ; / C o l u m n W i d t h s & g t ; & l t ; C o l u m n D i s p l a y I n d e x & g t ; & l t ; i t e m & g t ; & l t ; k e y & g t ; & l t ; s t r i n g & g t ; S t o r e   I D & l t ; / s t r i n g & g t ; & l t ; / k e y & g t ; & l t ; v a l u e & g t ; & l t ; i n t & g t ; 0 & l t ; / i n t & g t ; & l t ; / v a l u e & g t ; & l t ; / i t e m & g t ; & l t ; i t e m & g t ; & l t ; k e y & g t ; & l t ; s t r i n g & g t ; D a t e & l t ; / s t r i n g & g t ; & l t ; / k e y & g t ; & l t ; v a l u e & g t ; & l t ; i n t & g t ; 2 & l t ; / i n t & g t ; & l t ; / v a l u e & g t ; & l t ; / i t e m & g t ; & l t ; i t e m & g t ; & l t ; k e y & g t ; & l t ; s t r i n g & g t ; M o n t h l y   T a r g e t & 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14.xml>��< ? x m l   v e r s i o n = " 1 . 0 "   e n c o d i n g = " u t f - 1 6 " ? > < D a t a M a s h u p   s q m i d = " 4 5 9 c 4 e 0 6 - 7 1 8 1 - 4 a 8 2 - b 7 2 d - 2 f 6 f e 6 5 9 7 3 c a "   x m l n s = " h t t p : / / s c h e m a s . m i c r o s o f t . c o m / D a t a M a s h u p " > A A A A A B U J A A B Q S w M E F A A C A A g A I W a o W N 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A h Z q h 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W a o W D q f 4 l s N B g A A j S I A A B M A H A B G b 3 J t d W x h c y 9 T Z W N 0 a W 9 u M S 5 t I K I Y A C i g F A A A A A A A A A A A A A A A A A A A A A A A A A A A A O 1 Z b W / b N h D + H i D / g V C B Q U Z l r 5 K T D N j m D 6 3 d d A H W J q m z D U N m B I x E x 8 J k 0 a C o L I a R / 7 4 j 9 U Z K l O R 2 a 4 N 1 7 Y c m 4 p F 3 z 9 0 9 P J K X h P g 8 p D G a Z z / d H w 4 P D g + S F W Y k Q H 6 a c L o m L L n h + D Y i a I I i w g 8 P E P y b 0 5 T 5 Y m S a 3 I 9 m 1 E / X J O b 2 a R i R 0 Z T G H D 4 S 2 5 p 9 / 8 f r B 5 9 E a I 4 j k q A Z T l a 3 F L M A 2 e / J h j I + 6 B P X A I z 8 5 N 4 a O N c z E o X r k B M 2 s R z L Q V M a p e s 4 m Z w 4 6 H X s 0 y C M 7 y a u d + w 5 6 D K l n M z 5 N i K T 6 t f R O x q T x c D J H H l m X T C 6 B l m A f i I 4 A F s W e H U l z e W S f N z O f H b Q d T 7 + M o r m P o 4 w S y a c p a r K 6 Q r H d 6 D x a r s h l b o r h u N k S d k 6 A y y E i W 2 w 7 + x 2 1 j T 3 H J 3 N w M O z m J 8 c j c S C R w f t r N O Q J R y 9 w 2 s C M g 6 j i J M H L k U / 4 z b J G x K D 9 u Y C 6 m O R + I Z g h j l B d I l e h Y y v C m k A g 4 + P l a N v C R N + 5 h m o X J 3 S 9 W 0 Y k 3 z c r k X E 0 X G q / j w 6 + V J W 6 L g C Q K + 2 Z c p t C 1 l q Y m U 2 B 4 5 1 m k Z R p q J C d x Y n h I n I v r x T 0 v A y C D J c d g M / Y B F T H U S w v 0 I i A q N T y I 4 t f r s K 1 2 Q k o h W 9 o 3 / Z g w E a o m s t R o s i R i m T E a 1 w g E V h R K b U j E N D C i j K 9 C t w r u H 3 x b f j k 2 M z z 9 x e o m k w N J J l V h S W K S l + T y g D 4 p i y n I v M W X Z F m n U a K 0 m C j 5 K Q K g f r m B o 0 l A l S 4 M 0 3 U c h z a O h 2 i 0 q i V D D l l D L U T X 9 q w O R 0 U J C t 6 6 M f 1 L + B 3 J O F h p G r K R x 5 K l o 1 Q F 5 v w t p 9 E 9 n T L e q b V z W v y h 7 N p H T N r N T R 1 s K U c V I x t H i u f L k L l U F r e m / m j x B U 9 N E h O Y o b V g t w z w y 8 b r E X O v o G Q W L h / / 1 c c P f z w d N 8 6 C R G g 5 V u x z Z r o P k s O y 3 3 j M Z B K F T g K L f f l o K G Q z W b 6 A 3 b F M k I l + h a l S 3 Q j x P k v U B 8 R W J k v R h 6 L y x E o o S Y J 4 6 L i Z 4 7 H H f O P C p m j t 3 h U e f M 4 2 L m k T s 8 L m Z a x y 6 6 i N L E U h O 3 i b A P b v 6 K o 5 S o S Z P j c t T u C J 5 j S Y W O 9 d x y 8 j W s W C x q j 7 N r B u 2 x l Z h e O z F r Q E F v L b + N j H n 7 U 9 D 7 d y h o o E e N l i 2 1 d N x b S w 3 e 9 R 2 B h w d h b D a m X p K X 2 O d P d T + u b P d c j b / 7 g q 7 G M B i k P j f e j D u v z V k Y L 0 A P v H d M E y 5 T H P O Q b y F 7 U d A U X + C t y C J 6 S / i K B o 0 z t 1 z 9 n v C U x c S g 4 V x Q U N 4 r a x f q N q p p T F s D c V b R 9 g Z c Z A T S D l d X n n x + 0 h l h 9 P B v / A X x b y 7 8 N v L n r Y i M l t l y N N q C J R G p j n t 2 D L X S e E s S g t a n V G V W l k q r x q a 6 W p V Q m 2 w n P d n z X r f f Q 6 H j L 4 h C X S W s k B k f 8 V P I 8 B 1 l 2 4 Y g r 2 0 s 9 M t F c b q + J S x b R u F 9 b R L u W X k S o f 1 m I y v n k 7 H F A O J / R J n e w + u j m k J Z L T O K P m 3 / R 0 O r A P z a / 5 E B 0 b L 9 S X t A B k u f o A / U Z K / + P N B 4 a M L U + z r d u 8 l g 6 P 8 0 y Z 5 r 1 w 9 S 3 Y B a H + X y r 7 f / p z 4 6 / 6 u 3 / w 8 n c b 2 c a l G p P 8 Q N m 6 / u a 9 M 7 g 0 M G o L N 0 E 4 X w n i c K 1 l m Y 8 D D 2 u a E P Z y j N v x P M u p t 4 i g 2 A J e e r B V o M 2 N d V b I F t S u A N F u V 1 O a s 1 3 b U 4 N 2 U p C 1 T D c l i M 1 q 2 X x K i M v 3 7 g D H Y r K M 0 O P s i f / F Y 3 V W 0 X J L Y Z M z B p Z 4 A k j s n R H F 5 j 3 L 5 x 0 H j Q 0 v X d + 5 X R g d i p A 8 h f I K o d H X l b g n U s h S L Z K K 3 F e Z 8 M 1 / S 5 7 c 7 V 0 J U O Z S 3 a 3 D c 6 M n s 0 w 9 s O 9 j R A y L N r 2 6 Q P D J 4 v f y P k z 3 9 M o f Z T X / N V Q b H b N T D t y R 9 N G x y Y w g F z I L r w 5 j E p 1 h v D s k / G P 6 w l b c R e l k u 1 F a 1 M W I C q o h U s v k k c K G 3 j 2 s Q T 4 0 T 5 G e C t 1 U p V r 5 2 q 7 Y 3 j s n s p f B A m 5 G F g T B b U c q b 9 S a y D s V 5 e / O U C N T P 5 2 P l y 3 4 q b Q b 9 g Z B k + 7 E f R y u x u V 8 d g X Q 7 F H 2 g k T + W l H G h q k X j 4 y 9 z a s 9 i N + 6 K c Q 3 X y 7 a F Q R P y E i q B F 9 8 M u 3 g 0 s w k q Z N d 2 B t j e 5 q 1 0 6 p z j y 0 0 g + N c x d Q L e C S u P 7 L M K c Z j A F 3 m f y 7 m i 7 I t r Z o o / r R z W V S 2 7 K C V l B J T h J G Z z f f b 2 p v w F Q S w E C L Q A U A A I A C A A h Z q h Y 0 d 1 W j K Y A A A D 4 A A A A E g A A A A A A A A A A A A A A A A A A A A A A Q 2 9 u Z m l n L 1 B h Y 2 t h Z 2 U u e G 1 s U E s B A i 0 A F A A C A A g A I W a o W A / K 6 a u k A A A A 6 Q A A A B M A A A A A A A A A A A A A A A A A 8 g A A A F t D b 2 5 0 Z W 5 0 X 1 R 5 c G V z X S 5 4 b W x Q S w E C L Q A U A A I A C A A h Z q h Y O p / i W w 0 G A A C N I g A A E w A A A A A A A A A A A A A A A A D j A Q A A R m 9 y b X V s Y X M v U 2 V j d G l v b j E u b V B L B Q Y A A A A A A w A D A M I A A A A 9 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4 X w A A A A A A A J Z 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Y 3 V z d G 9 t Z X J z X 3 R h Y m x l 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2 x 1 b W 5 O Y W 1 l c y I g V m F s d W U 9 I n N b J n F 1 b 3 Q 7 Q 3 V z d G 9 t Z X I g S U Q m c X V v d D s s J n F 1 b 3 Q 7 R n V s b C B O Y W 1 l J n F 1 b 3 Q 7 L C Z x d W 9 0 O 0 d l b m R l c i Z x d W 9 0 O y w m c X V v d D t M b 2 N h d G l v b i Z x d W 9 0 O y w m c X V v d D t D d X N 0 b 2 1 l c i B B Z 2 U m c X V v d D s s J n F 1 b 3 Q 7 Q 3 V z d G 9 t Z X I g Q W d l I E d y c C Z x d W 9 0 O y w m c X V v d D t E Y X R l I G 9 m I E J p c n R o J n F 1 b 3 Q 7 X S I g L z 4 8 R W 5 0 c n k g V H l w Z T 0 i R m l s b F N 0 Y X R 1 c y I g V m F s d W U 9 I n N D b 2 1 w b G V 0 Z S I g L z 4 8 R W 5 0 c n k g V H l w Z T 0 i R m l s b E x h c 3 R V c G R h d G V k I i B W Y W x 1 Z T 0 i Z D I w M j Q t M D U t M D h U M D Y 6 N D k 6 M z Y u M D I 1 N D U y M 1 o i I C 8 + P E V u d H J 5 I F R 5 c G U 9 I k Z p b G x F c n J v c k N v d W 5 0 I i B W Y W x 1 Z T 0 i b D A i I C 8 + P E V u d H J 5 I F R 5 c G U 9 I k Z p b G x F c n J v c k N v Z G U i I F Z h b H V l P S J z V W 5 r b m 9 3 b i I g L z 4 8 R W 5 0 c n k g V H l w Z T 0 i U X V l c n l J R C I g V m F s d W U 9 I n M w Z T l h Y j Y x Y y 1 i Y W Y 4 L T Q 2 M j A t O T h k M i 0 y N z M 0 M z d j Z G V j M W Y i I C 8 + P E V u d H J 5 I F R 5 c G U 9 I k Z p b G x D b 2 x 1 b W 5 U e X B l c y I g V m F s d W U 9 I n N B d 0 F H Q m d N R 0 N R P T 0 i I C 8 + P E V u d H J 5 I F R 5 c G U 9 I k Z p b G x D b 3 V u d C I g V m F s d W U 9 I m w 2 M D A i I C 8 + P E V u d H J 5 I F R 5 c G U 9 I l J l b G F 0 a W 9 u c 2 h p c E l u Z m 9 D b 2 5 0 Y W l u Z X I i I F Z h b H V l P S J z e y Z x d W 9 0 O 2 N v b H V t b k N v d W 5 0 J n F 1 b 3 Q 7 O j c s J n F 1 b 3 Q 7 a 2 V 5 Q 2 9 s d W 1 u T m F t Z X M m c X V v d D s 6 W 1 0 s J n F 1 b 3 Q 7 c X V l c n l S Z W x h d G l v b n N o a X B z J n F 1 b 3 Q 7 O l t d L C Z x d W 9 0 O 2 N v b H V t b k l k Z W 5 0 a X R p Z X M m c X V v d D s 6 W y Z x d W 9 0 O 1 N l Y 3 R p b 2 4 x L 2 N 1 c 3 R v b W V y c 1 9 0 Y W J s Z S 9 D a G F u Z 2 V k I F R 5 c G U u e 0 N 1 c 3 R v b W V y I E l E L D B 9 J n F 1 b 3 Q 7 L C Z x d W 9 0 O 1 N l Y 3 R p b 2 4 x L 2 N 1 c 3 R v b W V y c 1 9 0 Y W J s Z S 9 B Z G R l Z C B D d X N 0 b 2 0 y L n t G d W x s I E 5 h b W U s O H 0 m c X V v d D s s J n F 1 b 3 Q 7 U 2 V j d G l v b j E v Y 3 V z d G 9 t Z X J z X 3 R h Y m x l L 0 N o Y W 5 n Z W Q g V H l w Z S 5 7 R 2 V u Z G V y L D N 9 J n F 1 b 3 Q 7 L C Z x d W 9 0 O 1 N l Y 3 R p b 2 4 x L 2 N 1 c 3 R v b W V y c 1 9 0 Y W J s Z S 9 D a G F u Z 2 V k I F R 5 c G U u e 0 x v Y 2 F 0 a W 9 u L D R 9 J n F 1 b 3 Q 7 L C Z x d W 9 0 O 1 N l Y 3 R p b 2 4 x L 2 N 1 c 3 R v b W V y c 1 9 0 Y W J s Z S 9 D a G F u Z 2 V k I F R 5 c G U z L n t D d X N 0 b 2 1 l c i B B Z 2 U s N H 0 m c X V v d D s s J n F 1 b 3 Q 7 U 2 V j d G l v b j E v Y 3 V z d G 9 t Z X J z X 3 R h Y m x l L 1 J l c G x h Y 2 V k I F Z h b H V l L n t D d X N 0 b 2 1 l c i B B Z 2 U g R 3 J w L D d 9 J n F 1 b 3 Q 7 L C Z x d W 9 0 O 1 N l Y 3 R p b 2 4 x L 2 N 1 c 3 R v b W V y c 1 9 0 Y W J s Z S 9 D a G F u Z 2 V k I F R 5 c G U u e 0 R h d G U g b 2 Y g Q m l y d G g s N X 0 m c X V v d D t d L C Z x d W 9 0 O 0 N v b H V t b k N v d W 5 0 J n F 1 b 3 Q 7 O j c s J n F 1 b 3 Q 7 S 2 V 5 Q 2 9 s d W 1 u T m F t Z X M m c X V v d D s 6 W 1 0 s J n F 1 b 3 Q 7 Q 2 9 s d W 1 u S W R l b n R p d G l l c y Z x d W 9 0 O z p b J n F 1 b 3 Q 7 U 2 V j d G l v b j E v Y 3 V z d G 9 t Z X J z X 3 R h Y m x l L 0 N o Y W 5 n Z W Q g V H l w Z S 5 7 Q 3 V z d G 9 t Z X I g S U Q s M H 0 m c X V v d D s s J n F 1 b 3 Q 7 U 2 V j d G l v b j E v Y 3 V z d G 9 t Z X J z X 3 R h Y m x l L 0 F k Z G V k I E N 1 c 3 R v b T I u e 0 Z 1 b G w g T m F t Z S w 4 f S Z x d W 9 0 O y w m c X V v d D t T Z W N 0 a W 9 u M S 9 j d X N 0 b 2 1 l c n N f d G F i b G U v Q 2 h h b m d l Z C B U e X B l L n t H Z W 5 k Z X I s M 3 0 m c X V v d D s s J n F 1 b 3 Q 7 U 2 V j d G l v b j E v Y 3 V z d G 9 t Z X J z X 3 R h Y m x l L 0 N o Y W 5 n Z W Q g V H l w Z S 5 7 T G 9 j Y X R p b 2 4 s N H 0 m c X V v d D s s J n F 1 b 3 Q 7 U 2 V j d G l v b j E v Y 3 V z d G 9 t Z X J z X 3 R h Y m x l L 0 N o Y W 5 n Z W Q g V H l w Z T M u e 0 N 1 c 3 R v b W V y I E F n Z S w 0 f S Z x d W 9 0 O y w m c X V v d D t T Z W N 0 a W 9 u M S 9 j d X N 0 b 2 1 l c n N f d G F i b G U v U m V w b G F j Z W Q g V m F s d W U u e 0 N 1 c 3 R v b W V y I E F n Z S B H c n A s N 3 0 m c X V v d D s s J n F 1 b 3 Q 7 U 2 V j d G l v b j E v Y 3 V z d G 9 t Z X J z X 3 R h Y m x l L 0 N o Y W 5 n Z W Q g V H l w Z S 5 7 R G F 0 Z S B v Z i B C a X J 0 a C w 1 f S Z x d W 9 0 O 1 0 s J n F 1 b 3 Q 7 U m V s Y X R p b 2 5 z a G l w S W 5 m b y Z x d W 9 0 O z p b X X 0 i I C 8 + P E V u d H J 5 I F R 5 c G U 9 I k F k Z G V k V G 9 E Y X R h T W 9 k Z W w i I F Z h b H V l P S J s M S I g L z 4 8 L 1 N 0 Y W J s Z U V u d H J p Z X M + P C 9 J d G V t P j x J d G V t P j x J d G V t T G 9 j Y X R p b 2 4 + P E l 0 Z W 1 U e X B l P k Z v c m 1 1 b G E 8 L 0 l 0 Z W 1 U e X B l P j x J d G V t U G F 0 a D 5 T Z W N 0 a W 9 u M S 9 j d X N 0 b 2 1 l c n N f d G F i b G U v U 2 9 1 c m N l P C 9 J d G V t U G F 0 a D 4 8 L 0 l 0 Z W 1 M b 2 N h d G l v b j 4 8 U 3 R h Y m x l R W 5 0 c m l l c y A v P j w v S X R l b T 4 8 S X R l b T 4 8 S X R l b U x v Y 2 F 0 a W 9 u P j x J d G V t V H l w Z T 5 G b 3 J t d W x h P C 9 J d G V t V H l w Z T 4 8 S X R l b V B h d G g + U 2 V j d G l v b j E v Y 3 V z d G 9 t Z X J z X 3 R h Y m x l L 1 B y b 2 1 v d G V k J T I w S G V h Z G V y c z w v S X R l b V B h d G g + P C 9 J d G V t T G 9 j Y X R p b 2 4 + P F N 0 Y W J s Z U V u d H J p Z X M g L z 4 8 L 0 l 0 Z W 0 + P E l 0 Z W 0 + P E l 0 Z W 1 M b 2 N h d G l v b j 4 8 S X R l b V R 5 c G U + R m 9 y b X V s Y T w v S X R l b V R 5 c G U + P E l 0 Z W 1 Q Y X R o P l N l Y 3 R p b 2 4 x L 2 N 1 c 3 R v b W V y c 1 9 0 Y W J s Z S 9 D a G F u Z 2 V k J T I w V H l w Z T w v S X R l b V B h d G g + P C 9 J d G V t T G 9 j Y X R p b 2 4 + P F N 0 Y W J s Z U V u d H J p Z X M g L z 4 8 L 0 l 0 Z W 0 + P E l 0 Z W 0 + P E l 0 Z W 1 M b 2 N h d G l v b j 4 8 S X R l b V R 5 c G U + R m 9 y b X V s Y T w v S X R l b V R 5 c G U + P E l 0 Z W 1 Q Y X R o P l N l Y 3 R p b 2 4 x L 2 N 1 c 3 R v b W V y c 1 9 0 Y W J s Z S 9 N Z X J n Z W Q l M j B D b 2 x 1 b W 5 z P C 9 J d G V t U G F 0 a D 4 8 L 0 l 0 Z W 1 M b 2 N h d G l v b j 4 8 U 3 R h Y m x l R W 5 0 c m l l c y A v P j w v S X R l b T 4 8 S X R l b T 4 8 S X R l b U x v Y 2 F 0 a W 9 u P j x J d G V t V H l w Z T 5 G b 3 J t d W x h P C 9 J d G V t V H l w Z T 4 8 S X R l b V B h d G g + U 2 V j d G l v b j E v Y 3 V z d G 9 t Z X J z X 3 R h Y m x l L 0 l u c 2 V y d G V k J T I w Q W d l P C 9 J d G V t U G F 0 a D 4 8 L 0 l 0 Z W 1 M b 2 N h d G l v b j 4 8 U 3 R h Y m x l R W 5 0 c m l l c y A v P j w v S X R l b T 4 8 S X R l b T 4 8 S X R l b U x v Y 2 F 0 a W 9 u P j x J d G V t V H l w Z T 5 G b 3 J t d W x h P C 9 J d G V t V H l w Z T 4 8 S X R l b V B h d G g + U 2 V j d G l v b j E v Y 3 V z d G 9 t Z X J z X 3 R h Y m x l L 0 F k Z G V k J T I w Q 3 V z d G 9 t P C 9 J d G V t U G F 0 a D 4 8 L 0 l 0 Z W 1 M b 2 N h d G l v b j 4 8 U 3 R h Y m x l R W 5 0 c m l l c y A v P j w v S X R l b T 4 8 S X R l b T 4 8 S X R l b U x v Y 2 F 0 a W 9 u P j x J d G V t V H l w Z T 5 G b 3 J t d W x h P C 9 J d G V t V H l w Z T 4 8 S X R l b V B h d G g + U 2 V j d G l v b j E v Y 3 V z d G 9 t Z X J z X 3 R h Y m x l L 0 N o Y W 5 n Z W Q l M j B U e X B l M T w v S X R l b V B h d G g + P C 9 J d G V t T G 9 j Y X R p b 2 4 + P F N 0 Y W J s Z U V u d H J p Z X M g L z 4 8 L 0 l 0 Z W 0 + P E l 0 Z W 0 + P E l 0 Z W 1 M b 2 N h d G l v b j 4 8 S X R l b V R 5 c G U + R m 9 y b X V s Y T w v S X R l b V R 5 c G U + P E l 0 Z W 1 Q Y X R o P l N l Y 3 R p b 2 4 x L 2 Z h Y 3 R f d G F i b G U 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E i I C 8 + P E V u d H J 5 I F R 5 c G U 9 I k Z p b G x l Z E N v b X B s Z X R l U m V z d W x 0 V G 9 X b 3 J r c 2 h l Z X Q i I F Z h b H V l P S J s M C I g L z 4 8 R W 5 0 c n k g V H l w Z T 0 i U m V j b 3 Z l c n l U Y X J n Z X R S b 3 c i I F Z h b H V l P S J s M S I g L z 4 8 R W 5 0 c n k g V H l w Z T 0 i U m V j b 3 Z l c n l U Y X J n Z X R D b 2 x 1 b W 4 i I F Z h b H V l P S J s M S I g L z 4 8 R W 5 0 c n k g V H l w Z T 0 i U m V j b 3 Z l c n l U Y X J n Z X R T a G V l d C I g V m F s d W U 9 I n N T a G V l d D I i I C 8 + P E V u d H J 5 I F R 5 c G U 9 I k F k Z G V k V G 9 E Y X R h T W 9 k Z W w i I F Z h b H V l P S J s M S I g L z 4 8 R W 5 0 c n k g V H l w Z T 0 i R m l s b E N v d W 5 0 I i B W Y W x 1 Z T 0 i b D I w M D A w I i A v P j x F b n R y e S B U e X B l P S J G a W x s R X J y b 3 J D b 2 R l I i B W Y W x 1 Z T 0 i c 1 V u a 2 5 v d 2 4 i I C 8 + P E V u d H J 5 I F R 5 c G U 9 I k Z p b G x F c n J v c k N v d W 5 0 I i B W Y W x 1 Z T 0 i b D A i I C 8 + P E V u d H J 5 I F R 5 c G U 9 I k Z p b G x M Y X N 0 V X B k Y X R l Z C I g V m F s d W U 9 I m Q y M D I 0 L T A 0 L T E 5 V D A 1 O j I 0 O j I 0 L j M x M D A z M D Z a I i A v P j x F b n R y e S B U e X B l P S J G a W x s Q 2 9 s d W 1 u V H l w Z X M i I F Z h b H V l P S J z Q X d N R E F 3 W U R D U T 0 9 I i A v P j x F b n R y e S B U e X B l P S J G a W x s Q 2 9 s d W 1 u T m F t Z X M i I F Z h b H V l P S J z W y Z x d W 9 0 O 1 B y b 2 R 1 Y 3 Q g S U Q m c X V v d D s s J n F 1 b 3 Q 7 Q 3 V z d G 9 t Z X I g S U Q m c X V v d D s s J n F 1 b 3 Q 7 U 2 F s Z X M g U G V y c 2 9 u I E l E J n F 1 b 3 Q 7 L C Z x d W 9 0 O 1 F 1 Y W 5 0 a X R 5 I F N v b G Q m c X V v d D s s J n F 1 b 3 Q 7 U G F 5 b W V u d C B N Z X R o b 2 Q m c X V v d D s s J n F 1 b 3 Q 7 U X V h b n R p d H k g U m V 0 d X J u Z W Q m c X V v d D s s J n F 1 b 3 Q 7 T 3 J k Z X I g R G F 0 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Z h Y 3 R f d G F i b G U v Q 2 h h b m d l Z C B U e X B l L n t Q c m 9 k d W N 0 I E l E L D B 9 J n F 1 b 3 Q 7 L C Z x d W 9 0 O 1 N l Y 3 R p b 2 4 x L 2 Z h Y 3 R f d G F i b G U v Q 2 h h b m d l Z C B U e X B l L n t D d X N 0 b 2 1 l c i B J R C w x f S Z x d W 9 0 O y w m c X V v d D t T Z W N 0 a W 9 u M S 9 m Y W N 0 X 3 R h Y m x l L 0 N o Y W 5 n Z W Q g V H l w Z S 5 7 U 2 F s Z X M g U G V y c 2 9 u I E l E L D J 9 J n F 1 b 3 Q 7 L C Z x d W 9 0 O 1 N l Y 3 R p b 2 4 x L 2 Z h Y 3 R f d G F i b G U v Q 2 h h b m d l Z C B U e X B l L n t R d W F u d G l 0 e S B T b 2 x k L D N 9 J n F 1 b 3 Q 7 L C Z x d W 9 0 O 1 N l Y 3 R p b 2 4 x L 2 Z h Y 3 R f d G F i b G U v Q 2 h h b m d l Z C B U e X B l L n t Q Y X l t Z W 5 0 I E 1 l d G h v Z C w 0 f S Z x d W 9 0 O y w m c X V v d D t T Z W N 0 a W 9 u M S 9 m Y W N 0 X 3 R h Y m x l L 0 N o Y W 5 n Z W Q g V H l w Z S 5 7 U X V h b n R p d H k g U m V 0 d X J u Z W Q s N X 0 m c X V v d D s s J n F 1 b 3 Q 7 U 2 V j d G l v b j E v Z m F j d F 9 0 Y W J s Z S 9 D a G F u Z 2 V k I F R 5 c G U u e 0 9 y Z G V y I E R h d G U s N n 0 m c X V v d D t d L C Z x d W 9 0 O 0 N v b H V t b k N v d W 5 0 J n F 1 b 3 Q 7 O j c s J n F 1 b 3 Q 7 S 2 V 5 Q 2 9 s d W 1 u T m F t Z X M m c X V v d D s 6 W 1 0 s J n F 1 b 3 Q 7 Q 2 9 s d W 1 u S W R l b n R p d G l l c y Z x d W 9 0 O z p b J n F 1 b 3 Q 7 U 2 V j d G l v b j E v Z m F j d F 9 0 Y W J s Z S 9 D a G F u Z 2 V k I F R 5 c G U u e 1 B y b 2 R 1 Y 3 Q g S U Q s M H 0 m c X V v d D s s J n F 1 b 3 Q 7 U 2 V j d G l v b j E v Z m F j d F 9 0 Y W J s Z S 9 D a G F u Z 2 V k I F R 5 c G U u e 0 N 1 c 3 R v b W V y I E l E L D F 9 J n F 1 b 3 Q 7 L C Z x d W 9 0 O 1 N l Y 3 R p b 2 4 x L 2 Z h Y 3 R f d G F i b G U v Q 2 h h b m d l Z C B U e X B l L n t T Y W x l c y B Q Z X J z b 2 4 g S U Q s M n 0 m c X V v d D s s J n F 1 b 3 Q 7 U 2 V j d G l v b j E v Z m F j d F 9 0 Y W J s Z S 9 D a G F u Z 2 V k I F R 5 c G U u e 1 F 1 Y W 5 0 a X R 5 I F N v b G Q s M 3 0 m c X V v d D s s J n F 1 b 3 Q 7 U 2 V j d G l v b j E v Z m F j d F 9 0 Y W J s Z S 9 D a G F u Z 2 V k I F R 5 c G U u e 1 B h e W 1 l b n Q g T W V 0 a G 9 k L D R 9 J n F 1 b 3 Q 7 L C Z x d W 9 0 O 1 N l Y 3 R p b 2 4 x L 2 Z h Y 3 R f d G F i b G U v Q 2 h h b m d l Z C B U e X B l L n t R d W F u d G l 0 e S B S Z X R 1 c m 5 l Z C w 1 f S Z x d W 9 0 O y w m c X V v d D t T Z W N 0 a W 9 u M S 9 m Y W N 0 X 3 R h Y m x l L 0 N o Y W 5 n Z W Q g V H l w Z S 5 7 T 3 J k Z X I g R G F 0 Z S w 2 f S Z x d W 9 0 O 1 0 s J n F 1 b 3 Q 7 U m V s Y X R p b 2 5 z a G l w S W 5 m b y Z x d W 9 0 O z p b X X 0 i I C 8 + P E V u d H J 5 I F R 5 c G U 9 I l F 1 Z X J 5 S U Q i I F Z h b H V l P S J z M m R m N m E w M z M t Y W J j M i 0 0 Y T E 2 L W I z Y 2 Y t Z T g x O T U 1 N D A 2 M 2 U 1 I i A v P j w v U 3 R h Y m x l R W 5 0 c m l l c z 4 8 L 0 l 0 Z W 0 + P E l 0 Z W 0 + P E l 0 Z W 1 M b 2 N h d G l v b j 4 8 S X R l b V R 5 c G U + R m 9 y b X V s Y T w v S X R l b V R 5 c G U + P E l 0 Z W 1 Q Y X R o P l N l Y 3 R p b 2 4 x L 2 Z h Y 3 R f d G F i b G U v U 2 9 1 c m N l P C 9 J d G V t U G F 0 a D 4 8 L 0 l 0 Z W 1 M b 2 N h d G l v b j 4 8 U 3 R h Y m x l R W 5 0 c m l l c y A v P j w v S X R l b T 4 8 S X R l b T 4 8 S X R l b U x v Y 2 F 0 a W 9 u P j x J d G V t V H l w Z T 5 G b 3 J t d W x h P C 9 J d G V t V H l w Z T 4 8 S X R l b V B h d G g + U 2 V j d G l v b j E v Z m F j d F 9 0 Y W J s Z S 9 Q c m 9 t b 3 R l Z C U y M E h l Y W R l c n M 8 L 0 l 0 Z W 1 Q Y X R o P j w v S X R l b U x v Y 2 F 0 a W 9 u P j x T d G F i b G V F b n R y a W V z I C 8 + P C 9 J d G V t P j x J d G V t P j x J d G V t T G 9 j Y X R p b 2 4 + P E l 0 Z W 1 U e X B l P k Z v c m 1 1 b G E 8 L 0 l 0 Z W 1 U e X B l P j x J d G V t U G F 0 a D 5 T Z W N 0 a W 9 u M S 9 m Y W N 0 X 3 R h Y m x l L 0 N o Y W 5 n Z W Q l M j B U e X B l P C 9 J d G V t U G F 0 a D 4 8 L 0 l 0 Z W 1 M b 2 N h d G l v b j 4 8 U 3 R h Y m x l R W 5 0 c m l l c y A v P j w v S X R l b T 4 8 S X R l b T 4 8 S X R l b U x v Y 2 F 0 a W 9 u P j x J d G V t V H l w Z T 5 G b 3 J t d W x h P C 9 J d G V t V H l w Z T 4 8 S X R l b V B h d G g + U 2 V j d G l v b j E v b W 9 u d G h s e V 9 z d G 9 y Z V 9 0 Y X J n Z X R 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M s J n F 1 b 3 Q 7 a 2 V 5 Q 2 9 s d W 1 u T m F t Z X M m c X V v d D s 6 W 1 0 s J n F 1 b 3 Q 7 c X V l c n l S Z W x h d G l v b n N o a X B z J n F 1 b 3 Q 7 O l t d L C Z x d W 9 0 O 2 N v b H V t b k l k Z W 5 0 a X R p Z X M m c X V v d D s 6 W y Z x d W 9 0 O 1 N l Y 3 R p b 2 4 x L 2 1 v b n R o b H l f c 3 R v c m V f d G F y Z 2 V 0 c y 9 D a G F u Z 2 V k I F R 5 c G U u e 1 N 0 b 3 J l I E l E L D B 9 J n F 1 b 3 Q 7 L C Z x d W 9 0 O 1 N l Y 3 R p b 2 4 x L 2 1 v b n R o b H l f c 3 R v c m V f d G F y Z 2 V 0 c y 9 D a G F u Z 2 V k I F R 5 c G U u e 0 1 v b n R o L D F 9 J n F 1 b 3 Q 7 L C Z x d W 9 0 O 1 N l Y 3 R p b 2 4 x L 2 1 v b n R o b H l f c 3 R v c m V f d G F y Z 2 V 0 c y 9 D a G F u Z 2 V k I F R 5 c G U u e 0 1 v b n R o b H k g V G F y Z 2 V 0 L D J 9 J n F 1 b 3 Q 7 X S w m c X V v d D t D b 2 x 1 b W 5 D b 3 V u d C Z x d W 9 0 O z o z L C Z x d W 9 0 O 0 t l e U N v b H V t b k 5 h b W V z J n F 1 b 3 Q 7 O l t d L C Z x d W 9 0 O 0 N v b H V t b k l k Z W 5 0 a X R p Z X M m c X V v d D s 6 W y Z x d W 9 0 O 1 N l Y 3 R p b 2 4 x L 2 1 v b n R o b H l f c 3 R v c m V f d G F y Z 2 V 0 c y 9 D a G F u Z 2 V k I F R 5 c G U u e 1 N 0 b 3 J l I E l E L D B 9 J n F 1 b 3 Q 7 L C Z x d W 9 0 O 1 N l Y 3 R p b 2 4 x L 2 1 v b n R o b H l f c 3 R v c m V f d G F y Z 2 V 0 c y 9 D a G F u Z 2 V k I F R 5 c G U u e 0 1 v b n R o L D F 9 J n F 1 b 3 Q 7 L C Z x d W 9 0 O 1 N l Y 3 R p b 2 4 x L 2 1 v b n R o b H l f c 3 R v c m V f d G F y Z 2 V 0 c y 9 D a G F u Z 2 V k I F R 5 c G U u e 0 1 v b n R o b H k g V G F y Z 2 V 0 L D J 9 J n F 1 b 3 Q 7 X S w m c X V v d D t S Z W x h d G l v b n N o a X B J b m Z v J n F 1 b 3 Q 7 O l t d f S I g L z 4 8 R W 5 0 c n k g V H l w Z T 0 i R m l s b F N 0 Y X R 1 c y I g V m F s d W U 9 I n N D b 2 1 w b G V 0 Z S I g L z 4 8 R W 5 0 c n k g V H l w Z T 0 i R m l s b E N v b H V t b k 5 h b W V z I i B W Y W x 1 Z T 0 i c 1 s m c X V v d D t T d G 9 y Z S B J R C Z x d W 9 0 O y w m c X V v d D t E Y X R l J n F 1 b 3 Q 7 L C Z x d W 9 0 O 0 1 v b n R o b H k g V G F y Z 2 V 0 J n F 1 b 3 Q 7 X S I g L z 4 8 R W 5 0 c n k g V H l w Z T 0 i R m l s b E N v b H V t b l R 5 c G V z I i B W Y W x 1 Z T 0 i c 0 F 3 a 0 Q i I C 8 + P E V u d H J 5 I F R 5 c G U 9 I k Z p b G x M Y X N 0 V X B k Y X R l Z C I g V m F s d W U 9 I m Q y M D I 0 L T A 0 L T E 5 V D A 1 O j Q 4 O j Q 5 L j E y N z A y O D R a I i A v P j x F b n R y e S B U e X B l P S J G a W x s R X J y b 3 J D b 3 V u d C I g V m F s d W U 9 I m w w I i A v P j x F b n R y e S B U e X B l P S J G a W x s R X J y b 3 J D b 2 R l I i B W Y W x 1 Z T 0 i c 1 V u a 2 5 v d 2 4 i I C 8 + P E V u d H J 5 I F R 5 c G U 9 I k Z p b G x D b 3 V u d C I g V m F s d W U 9 I m w x M j A i I C 8 + P E V u d H J 5 I F R 5 c G U 9 I k F k Z G V k V G 9 E Y X R h T W 9 k Z W w i I F Z h b H V l P S J s M S I g L z 4 8 R W 5 0 c n k g V H l w Z T 0 i U X V l c n l J R C I g V m F s d W U 9 I n M z N j k 0 N 2 M w N i 0 3 Z G Y w L T R l Z G I t O T V h M y 0 4 Y z E z N 2 J i Y W R m Z D I i I C 8 + P C 9 T d G F i b G V F b n R y a W V z P j w v S X R l b T 4 8 S X R l b T 4 8 S X R l b U x v Y 2 F 0 a W 9 u P j x J d G V t V H l w Z T 5 G b 3 J t d W x h P C 9 J d G V t V H l w Z T 4 8 S X R l b V B h d G g + U 2 V j d G l v b j E v b W 9 u d G h s e V 9 z d G 9 y Z V 9 0 Y X J n Z X R z L 1 N v d X J j Z T w v S X R l b V B h d G g + P C 9 J d G V t T G 9 j Y X R p b 2 4 + P F N 0 Y W J s Z U V u d H J p Z X M g L z 4 8 L 0 l 0 Z W 0 + P E l 0 Z W 0 + P E l 0 Z W 1 M b 2 N h d G l v b j 4 8 S X R l b V R 5 c G U + R m 9 y b X V s Y T w v S X R l b V R 5 c G U + P E l 0 Z W 1 Q Y X R o P l N l Y 3 R p b 2 4 x L 2 1 v b n R o b H l f c 3 R v c m V f d G F y Z 2 V 0 c y 9 Q c m 9 t b 3 R l Z C U y M E h l Y W R l c n M 8 L 0 l 0 Z W 1 Q Y X R o P j w v S X R l b U x v Y 2 F 0 a W 9 u P j x T d G F i b G V F b n R y a W V z I C 8 + P C 9 J d G V t P j x J d G V t P j x J d G V t T G 9 j Y X R p b 2 4 + P E l 0 Z W 1 U e X B l P k Z v c m 1 1 b G E 8 L 0 l 0 Z W 1 U e X B l P j x J d G V t U G F 0 a D 5 T Z W N 0 a W 9 u M S 9 t b 2 5 0 a G x 5 X 3 N 0 b 3 J l X 3 R h c m d l d H M v Q 2 h h b m d l Z C U y M F R 5 c G U 8 L 0 l 0 Z W 1 Q Y X R o P j w v S X R l b U x v Y 2 F 0 a W 9 u P j x T d G F i b G V F b n R y a W V z I C 8 + P C 9 J d G V t P j x J d G V t P j x J d G V t T G 9 j Y X R p b 2 4 + P E l 0 Z W 1 U e X B l P k Z v c m 1 1 b G E 8 L 0 l 0 Z W 1 U e X B l P j x J d G V t U G F 0 a D 5 T Z W N 0 a W 9 u M S 9 w c m 9 k d W N 0 c 1 9 0 Y W J s Z 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N v d m V y e V R h c m d l d F J v d y I g V m F s d W U 9 I m w x I i A v P j x F b n R y e S B U e X B l P S J S Z W N v d m V y e V R h c m d l d E N v b H V t b i I g V m F s d W U 9 I m w x I i A v P j x F b n R y e S B U e X B l P S J S Z W N v d m V y e V R h c m d l d F N o Z W V 0 I i B W Y W x 1 Z T 0 i c 1 N o Z W V 0 M y 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0 L T A 0 L T E 5 V D A 2 O j Q 2 O j I 1 L j k z M z A 4 N T B a I i A v P j x F b n R y e S B U e X B l P S J G a W x s Q 2 9 s d W 1 u V H l w Z X M i I F Z h b H V l P S J z Q X d Z R 0 J R V T 0 i I C 8 + P E V u d H J 5 I F R 5 c G U 9 I k Z p b G x D b 2 x 1 b W 5 O Y W 1 l c y I g V m F s d W U 9 I n N b J n F 1 b 3 Q 7 U H J v Z H V j d C B J R C Z x d W 9 0 O y w m c X V v d D t Q c m 9 k d W N 0 I E 5 h b W U m c X V v d D s s J n F 1 b 3 Q 7 Q 2 F 0 Z W d v c n k m c X V v d D s s J n F 1 b 3 Q 7 U 2 F s Z X M g U H J p Y 2 U m c X V v d D s s J n F 1 b 3 Q 7 Q 2 9 z d C B Q c m l j 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X 3 R h Y m x l L 0 N o Y W 5 n Z W Q g V H l w Z S 5 7 U H J v Z H V j d C B J R C w w f S Z x d W 9 0 O y w m c X V v d D t T Z W N 0 a W 9 u M S 9 w c m 9 k d W N 0 c 1 9 0 Y W J s Z S 9 D a G F u Z 2 V k I F R 5 c G U u e 1 B y b 2 R 1 Y 3 Q g T m F t Z S w x f S Z x d W 9 0 O y w m c X V v d D t T Z W N 0 a W 9 u M S 9 w c m 9 k d W N 0 c 1 9 0 Y W J s Z S 9 D a G F u Z 2 V k I F R 5 c G U u e 0 N h d G V n b 3 J 5 L D J 9 J n F 1 b 3 Q 7 L C Z x d W 9 0 O 1 N l Y 3 R p b 2 4 x L 3 B y b 2 R 1 Y 3 R z X 3 R h Y m x l L 0 N o Y W 5 n Z W Q g V H l w Z S 5 7 U 2 F s Z X M g U H J p Y 2 U s M 3 0 m c X V v d D s s J n F 1 b 3 Q 7 U 2 V j d G l v b j E v c H J v Z H V j d H N f d G F i b G U v Q 2 h h b m d l Z C B U e X B l L n t D b 3 N 0 I F B y a W N l L D R 9 J n F 1 b 3 Q 7 X S w m c X V v d D t D b 2 x 1 b W 5 D b 3 V u d C Z x d W 9 0 O z o 1 L C Z x d W 9 0 O 0 t l e U N v b H V t b k 5 h b W V z J n F 1 b 3 Q 7 O l t d L C Z x d W 9 0 O 0 N v b H V t b k l k Z W 5 0 a X R p Z X M m c X V v d D s 6 W y Z x d W 9 0 O 1 N l Y 3 R p b 2 4 x L 3 B y b 2 R 1 Y 3 R z X 3 R h Y m x l L 0 N o Y W 5 n Z W Q g V H l w Z S 5 7 U H J v Z H V j d C B J R C w w f S Z x d W 9 0 O y w m c X V v d D t T Z W N 0 a W 9 u M S 9 w c m 9 k d W N 0 c 1 9 0 Y W J s Z S 9 D a G F u Z 2 V k I F R 5 c G U u e 1 B y b 2 R 1 Y 3 Q g T m F t Z S w x f S Z x d W 9 0 O y w m c X V v d D t T Z W N 0 a W 9 u M S 9 w c m 9 k d W N 0 c 1 9 0 Y W J s Z S 9 D a G F u Z 2 V k I F R 5 c G U u e 0 N h d G V n b 3 J 5 L D J 9 J n F 1 b 3 Q 7 L C Z x d W 9 0 O 1 N l Y 3 R p b 2 4 x L 3 B y b 2 R 1 Y 3 R z X 3 R h Y m x l L 0 N o Y W 5 n Z W Q g V H l w Z S 5 7 U 2 F s Z X M g U H J p Y 2 U s M 3 0 m c X V v d D s s J n F 1 b 3 Q 7 U 2 V j d G l v b j E v c H J v Z H V j d H N f d G F i b G U v Q 2 h h b m d l Z C B U e X B l L n t D b 3 N 0 I F B y a W N l L D R 9 J n F 1 b 3 Q 7 X S w m c X V v d D t S Z W x h d G l v b n N o a X B J b m Z v J n F 1 b 3 Q 7 O l t d f S I g L z 4 8 R W 5 0 c n k g V H l w Z T 0 i U X V l c n l J R C I g V m F s d W U 9 I n M 2 N m Y 2 O T g x Z i 0 1 Z j M 5 L T R h O T Q t Y j c 0 Z S 0 0 N z k w Y z F i M m I 2 Z D Y i I C 8 + P C 9 T d G F i b G V F b n R y a W V z P j w v S X R l b T 4 8 S X R l b T 4 8 S X R l b U x v Y 2 F 0 a W 9 u P j x J d G V t V H l w Z T 5 G b 3 J t d W x h P C 9 J d G V t V H l w Z T 4 8 S X R l b V B h d G g + U 2 V j d G l v b j E v c H J v Z H V j d H N f d G F i b G U v U 2 9 1 c m N l P C 9 J d G V t U G F 0 a D 4 8 L 0 l 0 Z W 1 M b 2 N h d G l v b j 4 8 U 3 R h Y m x l R W 5 0 c m l l c y A v P j w v S X R l b T 4 8 S X R l b T 4 8 S X R l b U x v Y 2 F 0 a W 9 u P j x J d G V t V H l w Z T 5 G b 3 J t d W x h P C 9 J d G V t V H l w Z T 4 8 S X R l b V B h d G g + U 2 V j d G l v b j E v c H J v Z H V j d H N f d G F i b G U v U H J v b W 9 0 Z W Q l M j B I Z W F k Z X J z P C 9 J d G V t U G F 0 a D 4 8 L 0 l 0 Z W 1 M b 2 N h d G l v b j 4 8 U 3 R h Y m x l R W 5 0 c m l l c y A v P j w v S X R l b T 4 8 S X R l b T 4 8 S X R l b U x v Y 2 F 0 a W 9 u P j x J d G V t V H l w Z T 5 G b 3 J t d W x h P C 9 J d G V t V H l w Z T 4 8 S X R l b V B h d G g + U 2 V j d G l v b j E v c H J v Z H V j d H N f d G F i b G U v Q 2 h h b m d l Z C U y M F R 5 c G U 8 L 0 l 0 Z W 1 Q Y X R o P j w v S X R l b U x v Y 2 F 0 a W 9 u P j x T d G F i b G V F b n R y a W V z I C 8 + P C 9 J d G V t P j x J d G V t P j x J d G V t T G 9 j Y X R p b 2 4 + P E l 0 Z W 1 U e X B l P k Z v c m 1 1 b G E 8 L 0 l 0 Z W 1 U e X B l P j x J d G V t U G F 0 a D 5 T Z W N 0 a W 9 u M S 9 z Y W x l c 1 9 w Z X J z b 2 5 z X 3 R h Y m x l 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U 2 F s Z X M g U G V y c 2 9 u I E l E J n F 1 b 3 Q 7 L C Z x d W 9 0 O 0 Z 1 b G w g T m F t Z S Z x d W 9 0 O y w m c X V v d D t T d G 9 y Z S B O Y W 1 l J n F 1 b 3 Q 7 L C Z x d W 9 0 O 1 N h b G V z I F B l c n N v b i B B Z 2 U m c X V v d D t d I i A v P j x F b n R y e S B U e X B l P S J G a W x s Q 2 9 s d W 1 u V H l w Z X M i I F Z h b H V l P S J z Q X d Z R 0 F 3 P T 0 i I C 8 + P E V u d H J 5 I F R 5 c G U 9 I k Z p b G x M Y X N 0 V X B k Y X R l Z C I g V m F s d W U 9 I m Q y M D I 0 L T A 1 L T A x V D A 2 O j I 2 O j A 2 L j U x O T Q 4 M j V a I i A v P j x F b n R y e S B U e X B l P S J G a W x s R X J y b 3 J D b 3 V u d C I g V m F s d W U 9 I m w w I i A v P j x F b n R y e S B U e X B l P S J G a W x s R X J y b 3 J D b 2 R l I i B W Y W x 1 Z T 0 i c 1 V u a 2 5 v d 2 4 i I C 8 + P E V u d H J 5 I F R 5 c G U 9 I k Z p b G x D b 3 V u d C I g V m F s d W U 9 I m w x M C I g L z 4 8 R W 5 0 c n k g V H l w Z T 0 i Q W R k Z W R U b 0 R h d G F N b 2 R l b C I g V m F s d W U 9 I m w x I i A v P j x F b n R y e S B U e X B l P S J R d W V y e U l E I i B W Y W x 1 Z T 0 i c z h k Y j Q x Z j l h L W Z j N T U t N D Y 1 M i 1 h M D k 4 L W U 4 Z j l l N 2 R m O D J m N S I g L z 4 8 R W 5 0 c n k g V H l w Z T 0 i U m V s Y X R p b 2 5 z a G l w S W 5 m b 0 N v b n R h a W 5 l c i I g V m F s d W U 9 I n N 7 J n F 1 b 3 Q 7 Y 2 9 s d W 1 u Q 2 9 1 b n Q m c X V v d D s 6 N C w m c X V v d D t r Z X l D b 2 x 1 b W 5 O Y W 1 l c y Z x d W 9 0 O z p b X S w m c X V v d D t x d W V y e V J l b G F 0 a W 9 u c 2 h p c H M m c X V v d D s 6 W 1 0 s J n F 1 b 3 Q 7 Y 2 9 s d W 1 u S W R l b n R p d G l l c y Z x d W 9 0 O z p b J n F 1 b 3 Q 7 U 2 V j d G l v b j E v c 2 F s Z X N f c G V y c 2 9 u c 1 9 0 Y W J s Z S 9 D a G F u Z 2 V k I F R 5 c G U u e 1 N h b G V z I F B l c n N v b i B J R C w w f S Z x d W 9 0 O y w m c X V v d D t T Z W N 0 a W 9 u M S 9 z Y W x l c 1 9 w Z X J z b 2 5 z X 3 R h Y m x l L 0 1 l c m d l Z C B D b 2 x 1 b W 5 z L n t G d W x s I E 5 h b W U s M X 0 m c X V v d D s s J n F 1 b 3 Q 7 U 2 V j d G l v b j E v c 2 F s Z X N f c G V y c 2 9 u c 1 9 0 Y W J s Z S 9 D a G F u Z 2 V k I F R 5 c G U u e 1 N 0 b 3 J l I E 5 h b W U s M 3 0 m c X V v d D s s J n F 1 b 3 Q 7 U 2 V j d G l v b j E v c 2 F s Z X N f c G V y c 2 9 u c 1 9 0 Y W J s Z S 9 D a G F u Z 2 V k I F R 5 c G U x L n t T Y W x l c y B Q Z X J z b 2 4 g Q W d l L D V 9 J n F 1 b 3 Q 7 X S w m c X V v d D t D b 2 x 1 b W 5 D b 3 V u d C Z x d W 9 0 O z o 0 L C Z x d W 9 0 O 0 t l e U N v b H V t b k 5 h b W V z J n F 1 b 3 Q 7 O l t d L C Z x d W 9 0 O 0 N v b H V t b k l k Z W 5 0 a X R p Z X M m c X V v d D s 6 W y Z x d W 9 0 O 1 N l Y 3 R p b 2 4 x L 3 N h b G V z X 3 B l c n N v b n N f d G F i b G U v Q 2 h h b m d l Z C B U e X B l L n t T Y W x l c y B Q Z X J z b 2 4 g S U Q s M H 0 m c X V v d D s s J n F 1 b 3 Q 7 U 2 V j d G l v b j E v c 2 F s Z X N f c G V y c 2 9 u c 1 9 0 Y W J s Z S 9 N Z X J n Z W Q g Q 2 9 s d W 1 u c y 5 7 R n V s b C B O Y W 1 l L D F 9 J n F 1 b 3 Q 7 L C Z x d W 9 0 O 1 N l Y 3 R p b 2 4 x L 3 N h b G V z X 3 B l c n N v b n N f d G F i b G U v Q 2 h h b m d l Z C B U e X B l L n t T d G 9 y Z S B O Y W 1 l L D N 9 J n F 1 b 3 Q 7 L C Z x d W 9 0 O 1 N l Y 3 R p b 2 4 x L 3 N h b G V z X 3 B l c n N v b n N f d G F i b G U v Q 2 h h b m d l Z C B U e X B l M S 5 7 U 2 F s Z X M g U G V y c 2 9 u I E F n Z S w 1 f S Z x d W 9 0 O 1 0 s J n F 1 b 3 Q 7 U m V s Y X R p b 2 5 z a G l w S W 5 m b y Z x d W 9 0 O z p b X X 0 i I C 8 + P C 9 T d G F i b G V F b n R y a W V z P j w v S X R l b T 4 8 S X R l b T 4 8 S X R l b U x v Y 2 F 0 a W 9 u P j x J d G V t V H l w Z T 5 G b 3 J t d W x h P C 9 J d G V t V H l w Z T 4 8 S X R l b V B h d G g + U 2 V j d G l v b j E v c 2 F s Z X N f c G V y c 2 9 u c 1 9 0 Y W J s Z S 9 T b 3 V y Y 2 U 8 L 0 l 0 Z W 1 Q Y X R o P j w v S X R l b U x v Y 2 F 0 a W 9 u P j x T d G F i b G V F b n R y a W V z I C 8 + P C 9 J d G V t P j x J d G V t P j x J d G V t T G 9 j Y X R p b 2 4 + P E l 0 Z W 1 U e X B l P k Z v c m 1 1 b G E 8 L 0 l 0 Z W 1 U e X B l P j x J d G V t U G F 0 a D 5 T Z W N 0 a W 9 u M S 9 z Y W x l c 1 9 w Z X J z b 2 5 z X 3 R h Y m x l L 1 B y b 2 1 v d G V k J T I w S G V h Z G V y c z w v S X R l b V B h d G g + P C 9 J d G V t T G 9 j Y X R p b 2 4 + P F N 0 Y W J s Z U V u d H J p Z X M g L z 4 8 L 0 l 0 Z W 0 + P E l 0 Z W 0 + P E l 0 Z W 1 M b 2 N h d G l v b j 4 8 S X R l b V R 5 c G U + R m 9 y b X V s Y T w v S X R l b V R 5 c G U + P E l 0 Z W 1 Q Y X R o P l N l Y 3 R p b 2 4 x L 3 N h b G V z X 3 B l c n N v b n N f d G F i b G U v Q 2 h h b m d l Z C U y M F R 5 c G U 8 L 0 l 0 Z W 1 Q Y X R o P j w v S X R l b U x v Y 2 F 0 a W 9 u P j x T d G F i b G V F b n R y a W V z I C 8 + P C 9 J d G V t P j x J d G V t P j x J d G V t T G 9 j Y X R p b 2 4 + P E l 0 Z W 1 U e X B l P k Z v c m 1 1 b G E 8 L 0 l 0 Z W 1 U e X B l P j x J d G V t U G F 0 a D 5 T Z W N 0 a W 9 u M S 9 z Y W x l c 1 9 w Z X J z b 2 5 z X 3 R h Y m x l L 0 1 l c m d l Z C U y M E N v b H V t b n M 8 L 0 l 0 Z W 1 Q Y X R o P j w v S X R l b U x v Y 2 F 0 a W 9 u P j x T d G F i b G V F b n R y a W V z I C 8 + P C 9 J d G V t P j x J d G V t P j x J d G V t T G 9 j Y X R p b 2 4 + P E l 0 Z W 1 U e X B l P k Z v c m 1 1 b G E 8 L 0 l 0 Z W 1 U e X B l P j x J d G V t U G F 0 a D 5 T Z W N 0 a W 9 u M S 9 z Y W x l c 1 9 w Z X J z b 2 5 z X 3 R h Y m x l L 0 l u c 2 V y d G V k J T I w Q W d l P C 9 J d G V t U G F 0 a D 4 8 L 0 l 0 Z W 1 M b 2 N h d G l v b j 4 8 U 3 R h Y m x l R W 5 0 c m l l c y A v P j w v S X R l b T 4 8 S X R l b T 4 8 S X R l b U x v Y 2 F 0 a W 9 u P j x J d G V t V H l w Z T 5 G b 3 J t d W x h P C 9 J d G V t V H l w Z T 4 8 S X R l b V B h d G g + U 2 V j d G l v b j E v c 2 F s Z X N f c G V y c 2 9 u c 1 9 0 Y W J s Z S 9 B Z G R l Z C U y M E N 1 c 3 R v b T w v S X R l b V B h d G g + P C 9 J d G V t T G 9 j Y X R p b 2 4 + P F N 0 Y W J s Z U V u d H J p Z X M g L z 4 8 L 0 l 0 Z W 0 + P E l 0 Z W 0 + P E l 0 Z W 1 M b 2 N h d G l v b j 4 8 S X R l b V R 5 c G U + R m 9 y b X V s Y T w v S X R l b V R 5 c G U + P E l 0 Z W 1 Q Y X R o P l N l Y 3 R p b 2 4 x L 3 N h b G V z X 3 B l c n N v b n N f d G F i b G U v Q 2 h h b m d l Z C U y M F R 5 c G U x P C 9 J d G V t U G F 0 a D 4 8 L 0 l 0 Z W 1 M b 2 N h d G l v b j 4 8 U 3 R h Y m x l R W 5 0 c m l l c y A v P j w v S X R l b T 4 8 S X R l b T 4 8 S X R l b U x v Y 2 F 0 a W 9 u P j x J d G V t V H l w Z T 5 G b 3 J t d W x h P C 9 J d G V t V H l w Z T 4 8 S X R l b V B h d G g + U 2 V j d G l v b j E v c 2 F s Z X N f c G V y c 2 9 u c 1 9 0 Y W J s Z S 9 S Z W 9 y Z G V y Z W Q l M j B D b 2 x 1 b W 5 z P C 9 J d G V t U G F 0 a D 4 8 L 0 l 0 Z W 1 M b 2 N h d G l v b j 4 8 U 3 R h Y m x l R W 5 0 c m l l c y A v P j w v S X R l b T 4 8 S X R l b T 4 8 S X R l b U x v Y 2 F 0 a W 9 u P j x J d G V t V H l w Z T 5 G b 3 J t d W x h P C 9 J d G V t V H l w Z T 4 8 S X R l b V B h d G g + U 2 V j d G l v b j E v c 2 F s Z X N f c G V y c 2 9 u c 1 9 0 Y W J s Z S 9 S Z W 1 v d m V k J T I w Q 2 9 s d W 1 u c z w v S X R l b V B h d G g + P C 9 J d G V t T G 9 j Y X R p b 2 4 + P F N 0 Y W J s Z U V u d H J p Z X M g L z 4 8 L 0 l 0 Z W 0 + P E l 0 Z W 0 + P E l 0 Z W 1 M b 2 N h d G l v b j 4 8 S X R l b V R 5 c G U + R m 9 y b X V s Y T w v S X R l b V R 5 c G U + P E l 0 Z W 1 Q Y X R o P l N l Y 3 R p b 2 4 x L 0 R h d G U 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E i I C 8 + P E V u d H J 5 I F R 5 c G U 9 I k Z p b G x l Z E N v b X B s Z X R l U m V z d W x 0 V G 9 X b 3 J r c 2 h l Z X Q i I F Z h b H V l P S J s M C I g L z 4 8 R W 5 0 c n k g V H l w Z T 0 i U m V j b 3 Z l c n l U Y X J n Z X R S b 3 c i I F Z h b H V l P S J s M S I g L z 4 8 R W 5 0 c n k g V H l w Z T 0 i U m V j b 3 Z l c n l U Y X J n Z X R D b 2 x 1 b W 4 i I F Z h b H V l P S J s M S I g L z 4 8 R W 5 0 c n k g V H l w Z T 0 i U m V j b 3 Z l c n l U Y X J n Z X R T a G V l d C I g V m F s d W U 9 I n N T a G V l d D I i I C 8 + P E V u d H J 5 I F R 5 c G U 9 I k Z p b G x T d G F 0 d X M i I F Z h b H V l P S J z Q 2 9 t c G x l d G U i I C 8 + P E V u d H J 5 I F R 5 c G U 9 I k Z p b G x D b 2 x 1 b W 5 U e X B l c y I g V m F s d W U 9 I n N D U U 1 H Q X d Z R E J n W T 0 i I C 8 + P E V u d H J 5 I F R 5 c G U 9 I k Z p b G x M Y X N 0 V X B k Y X R l Z C I g V m F s d W U 9 I m Q y M D I 0 L T A 0 L T I w V D A 1 O j U x O j U 4 L j Q 3 N D A 2 N j J a I i A v P j x F b n R y e S B U e X B l P S J G a W x s R X J y b 3 J D b 3 V u d C I g V m F s d W U 9 I m w w I i A v P j x F b n R y e S B U e X B l P S J G a W x s R X J y b 3 J D b 2 R l I i B W Y W x 1 Z T 0 i c 1 V u a 2 5 v d 2 4 i I C 8 + P E V u d H J 5 I F R 5 c G U 9 I k Z p b G x D b 3 V u d C I g V m F s d W U 9 I m w z N j Q i I C 8 + P E V u d H J 5 I F R 5 c G U 9 I k Z p b G x D b 2 x 1 b W 5 O Y W 1 l c y I g V m F s d W U 9 I n N b J n F 1 b 3 Q 7 T 3 J k Z X I g R G F 0 Z S Z x d W 9 0 O y w m c X V v d D t Z Z W F y J n F 1 b 3 Q 7 L C Z x d W 9 0 O 0 1 v b n R o J n F 1 b 3 Q 7 L C Z x d W 9 0 O 0 1 v b n R o I E 5 v L i Z x d W 9 0 O y w m c X V v d D t E Y X k g T m F t Z S Z x d W 9 0 O y w m c X V v d D t X Z W V r I E 5 v J n F 1 b 3 Q 7 L C Z x d W 9 0 O 1 d l Z W t U e X B l J n F 1 b 3 Q 7 L C Z x d W 9 0 O 1 F 1 Y X J 0 Z X I m c X V v d D t d I i A v P j x F b n R y e S B U e X B l P S J B Z G R l Z F R v R G F 0 Y U 1 v Z G V s I i B W Y W x 1 Z T 0 i b D E i I C 8 + P E V u d H J 5 I F R 5 c G U 9 I k x v Y W R l Z F R v Q W 5 h b H l z a X N T Z X J 2 a W N l c y I g V m F s d W U 9 I m w w I i A v P j x F b n R y e S B U e X B l P S J R d W V y e U l E I i B W Y W x 1 Z T 0 i c z Y w Y z U 5 Z W E 1 L W R l M T I t N G U y M C 1 h Y 2 M 4 L T F i M G V k M G F j Z D c y Z S I g L z 4 8 R W 5 0 c n k g V H l w Z T 0 i U m V s Y X R p b 2 5 z a G l w S W 5 m b 0 N v b n R h a W 5 l c i I g V m F s d W U 9 I n N 7 J n F 1 b 3 Q 7 Y 2 9 s d W 1 u Q 2 9 1 b n Q m c X V v d D s 6 O C w m c X V v d D t r Z X l D b 2 x 1 b W 5 O Y W 1 l c y Z x d W 9 0 O z p b J n F 1 b 3 Q 7 T 3 J k Z X I g R G F 0 Z S Z x d W 9 0 O 1 0 s J n F 1 b 3 Q 7 c X V l c n l S Z W x h d G l v b n N o a X B z J n F 1 b 3 Q 7 O l t d L C Z x d W 9 0 O 2 N v b H V t b k l k Z W 5 0 a X R p Z X M m c X V v d D s 6 W y Z x d W 9 0 O 1 N l Y 3 R p b 2 4 x L 0 R h d G U v Q 2 h h b m d l Z C B U e X B l L n t P c m R l c i B E Y X R l L D Z 9 J n F 1 b 3 Q 7 L C Z x d W 9 0 O 1 N l Y 3 R p b 2 4 x L 0 R h d G U v S W 5 z Z X J 0 Z W Q g W W V h c i 5 7 W W V h c i w x f S Z x d W 9 0 O y w m c X V v d D t T Z W N 0 a W 9 u M S 9 E Y X R l L 0 V 4 d H J h Y 3 R l Z C B G a X J z d C B D a G F y Y W N 0 Z X J z L n t N b 2 5 0 a C B O Y W 1 l L D J 9 J n F 1 b 3 Q 7 L C Z x d W 9 0 O 1 N l Y 3 R p b 2 4 x L 0 R h d G U v S W 5 z Z X J 0 Z W Q g T W 9 u d G g u e 0 1 v b n R o L j E s M 3 0 m c X V v d D s s J n F 1 b 3 Q 7 U 2 V j d G l v b j E v R G F 0 Z S 9 F e H R y Y W N 0 Z W Q g R m l y c 3 Q g Q 2 h h c m F j d G V y c z E u e 0 R h e S B O Y W 1 l L D R 9 J n F 1 b 3 Q 7 L C Z x d W 9 0 O 1 N l Y 3 R p b 2 4 x L 0 R h d G U v S W 5 z Z X J 0 Z W Q g R G F 5 I G 9 m I F d l Z W s u e 0 R h e S B v Z i B X Z W V r L D V 9 J n F 1 b 3 Q 7 L C Z x d W 9 0 O 1 N l Y 3 R p b 2 4 x L 0 R h d G U v Q 2 h h b m d l Z C B U e X B l M S 5 7 V 2 V l a 1 R 5 c G U s N n 0 m c X V v d D s s J n F 1 b 3 Q 7 U 2 V j d G l v b j E v R G F 0 Z S 9 B Z G R l Z C B Q c m V m a X g u e 1 F 1 Y X J 0 Z X I s N 3 0 m c X V v d D t d L C Z x d W 9 0 O 0 N v b H V t b k N v d W 5 0 J n F 1 b 3 Q 7 O j g s J n F 1 b 3 Q 7 S 2 V 5 Q 2 9 s d W 1 u T m F t Z X M m c X V v d D s 6 W y Z x d W 9 0 O 0 9 y Z G V y I E R h d G U m c X V v d D t d L C Z x d W 9 0 O 0 N v b H V t b k l k Z W 5 0 a X R p Z X M m c X V v d D s 6 W y Z x d W 9 0 O 1 N l Y 3 R p b 2 4 x L 0 R h d G U v Q 2 h h b m d l Z C B U e X B l L n t P c m R l c i B E Y X R l L D Z 9 J n F 1 b 3 Q 7 L C Z x d W 9 0 O 1 N l Y 3 R p b 2 4 x L 0 R h d G U v S W 5 z Z X J 0 Z W Q g W W V h c i 5 7 W W V h c i w x f S Z x d W 9 0 O y w m c X V v d D t T Z W N 0 a W 9 u M S 9 E Y X R l L 0 V 4 d H J h Y 3 R l Z C B G a X J z d C B D a G F y Y W N 0 Z X J z L n t N b 2 5 0 a C B O Y W 1 l L D J 9 J n F 1 b 3 Q 7 L C Z x d W 9 0 O 1 N l Y 3 R p b 2 4 x L 0 R h d G U v S W 5 z Z X J 0 Z W Q g T W 9 u d G g u e 0 1 v b n R o L j E s M 3 0 m c X V v d D s s J n F 1 b 3 Q 7 U 2 V j d G l v b j E v R G F 0 Z S 9 F e H R y Y W N 0 Z W Q g R m l y c 3 Q g Q 2 h h c m F j d G V y c z E u e 0 R h e S B O Y W 1 l L D R 9 J n F 1 b 3 Q 7 L C Z x d W 9 0 O 1 N l Y 3 R p b 2 4 x L 0 R h d G U v S W 5 z Z X J 0 Z W Q g R G F 5 I G 9 m I F d l Z W s u e 0 R h e S B v Z i B X Z W V r L D V 9 J n F 1 b 3 Q 7 L C Z x d W 9 0 O 1 N l Y 3 R p b 2 4 x L 0 R h d G U v Q 2 h h b m d l Z C B U e X B l M S 5 7 V 2 V l a 1 R 5 c G U s N n 0 m c X V v d D s s J n F 1 b 3 Q 7 U 2 V j d G l v b j E v R G F 0 Z S 9 B Z G R l Z C B Q c m V m a X g u e 1 F 1 Y X J 0 Z X I s N 3 0 m c X V v d D t d L C Z x d W 9 0 O 1 J l b G F 0 a W 9 u c 2 h p c E l u Z m 8 m c X V v d D s 6 W 1 1 9 I i A v P j w v U 3 R h Y m x l R W 5 0 c m l l c z 4 8 L 0 l 0 Z W 0 + P E l 0 Z W 0 + P E l 0 Z W 1 M b 2 N h d G l v b j 4 8 S X R l b V R 5 c G U + R m 9 y b X V s Y T w v S X R l b V R 5 c G U + P E l 0 Z W 1 Q Y X R o P l N l Y 3 R p b 2 4 x L 0 R h d G U v U 2 9 1 c m N l P C 9 J d G V t U G F 0 a D 4 8 L 0 l 0 Z W 1 M b 2 N h d G l v b j 4 8 U 3 R h Y m x l R W 5 0 c m l l c y A v P j w v S X R l b T 4 8 S X R l b T 4 8 S X R l b U x v Y 2 F 0 a W 9 u P j x J d G V t V H l w Z T 5 G b 3 J t d W x h P C 9 J d G V t V H l w Z T 4 8 S X R l b V B h d G g + U 2 V j d G l v b j E v R G F 0 Z S 9 Q c m 9 t b 3 R l Z C U y M E h l Y W R l c n M 8 L 0 l 0 Z W 1 Q Y X R o P j w v S X R l b U x v Y 2 F 0 a W 9 u P j x T d G F i b G V F b n R y a W V z I C 8 + P C 9 J d G V t P j x J d G V t P j x J d G V t T G 9 j Y X R p b 2 4 + P E l 0 Z W 1 U e X B l P k Z v c m 1 1 b G E 8 L 0 l 0 Z W 1 U e X B l P j x J d G V t U G F 0 a D 5 T Z W N 0 a W 9 u M S 9 E Y X R l L 0 N o Y W 5 n Z W Q l M j B U e X B l P C 9 J d G V t U G F 0 a D 4 8 L 0 l 0 Z W 1 M b 2 N h d G l v b j 4 8 U 3 R h Y m x l R W 5 0 c m l l c y A v P j w v S X R l b T 4 8 S X R l b T 4 8 S X R l b U x v Y 2 F 0 a W 9 u P j x J d G V t V H l w Z T 5 G b 3 J t d W x h P C 9 J d G V t V H l w Z T 4 8 S X R l b V B h d G g + U 2 V j d G l v b j E v R G F 0 Z S 9 S Z W 1 v d m V k J T I w Q 2 9 s d W 1 u c z w v S X R l b V B h d G g + P C 9 J d G V t T G 9 j Y X R p b 2 4 + P F N 0 Y W J s Z U V u d H J p Z X M g L z 4 8 L 0 l 0 Z W 0 + P E l 0 Z W 0 + P E l 0 Z W 1 M b 2 N h d G l v b j 4 8 S X R l b V R 5 c G U + R m 9 y b X V s Y T w v S X R l b V R 5 c G U + P E l 0 Z W 1 Q Y X R o P l N l Y 3 R p b 2 4 x L 0 R h d G U v U m V t b 3 Z l Z C U y M E R 1 c G x p Y 2 F 0 Z X M 8 L 0 l 0 Z W 1 Q Y X R o P j w v S X R l b U x v Y 2 F 0 a W 9 u P j x T d G F i b G V F b n R y a W V z I C 8 + P C 9 J d G V t P j x J d G V t P j x J d G V t T G 9 j Y X R p b 2 4 + P E l 0 Z W 1 U e X B l P k Z v c m 1 1 b G E 8 L 0 l 0 Z W 1 U e X B l P j x J d G V t U G F 0 a D 5 T Z W N 0 a W 9 u M S 9 E Y X R l L 0 l u c 2 V y d G V k J T I w W W V h c j w v S X R l b V B h d G g + P C 9 J d G V t T G 9 j Y X R p b 2 4 + P F N 0 Y W J s Z U V u d H J p Z X M g L z 4 8 L 0 l 0 Z W 0 + P E l 0 Z W 0 + P E l 0 Z W 1 M b 2 N h d G l v b j 4 8 S X R l b V R 5 c G U + R m 9 y b X V s Y T w v S X R l b V R 5 c G U + P E l 0 Z W 1 Q Y X R o P l N l Y 3 R p b 2 4 x L 0 R h d G U v S W 5 z Z X J 0 Z W Q l M j B N b 2 5 0 a C U y M E 5 h b W U 8 L 0 l 0 Z W 1 Q Y X R o P j w v S X R l b U x v Y 2 F 0 a W 9 u P j x T d G F i b G V F b n R y a W V z I C 8 + P C 9 J d G V t P j x J d G V t P j x J d G V t T G 9 j Y X R p b 2 4 + P E l 0 Z W 1 U e X B l P k Z v c m 1 1 b G E 8 L 0 l 0 Z W 1 U e X B l P j x J d G V t U G F 0 a D 5 T Z W N 0 a W 9 u M S 9 E Y X R l L 0 V 4 d H J h Y 3 R l Z C U y M E Z p c n N 0 J T I w Q 2 h h c m F j d G V y c z w v S X R l b V B h d G g + P C 9 J d G V t T G 9 j Y X R p b 2 4 + P F N 0 Y W J s Z U V u d H J p Z X M g L z 4 8 L 0 l 0 Z W 0 + P E l 0 Z W 0 + P E l 0 Z W 1 M b 2 N h d G l v b j 4 8 S X R l b V R 5 c G U + R m 9 y b X V s Y T w v S X R l b V R 5 c G U + P E l 0 Z W 1 Q Y X R o P l N l Y 3 R p b 2 4 x L 0 R h d G U v U m V u Y W 1 l Z C U y M E N v b H V t b n M 8 L 0 l 0 Z W 1 Q Y X R o P j w v S X R l b U x v Y 2 F 0 a W 9 u P j x T d G F i b G V F b n R y a W V z I C 8 + P C 9 J d G V t P j x J d G V t P j x J d G V t T G 9 j Y X R p b 2 4 + P E l 0 Z W 1 U e X B l P k Z v c m 1 1 b G E 8 L 0 l 0 Z W 1 U e X B l P j x J d G V t U G F 0 a D 5 T Z W N 0 a W 9 u M S 9 E Y X R l L 0 l u c 2 V y d G V k J T I w T W 9 u d G g 8 L 0 l 0 Z W 1 Q Y X R o P j w v S X R l b U x v Y 2 F 0 a W 9 u P j x T d G F i b G V F b n R y a W V z I C 8 + P C 9 J d G V t P j x J d G V t P j x J d G V t T G 9 j Y X R p b 2 4 + P E l 0 Z W 1 U e X B l P k Z v c m 1 1 b G E 8 L 0 l 0 Z W 1 U e X B l P j x J d G V t U G F 0 a D 5 T Z W N 0 a W 9 u M S 9 E Y X R l L 1 J l b m F t Z W Q l M j B D b 2 x 1 b W 5 z M T w v S X R l b V B h d G g + P C 9 J d G V t T G 9 j Y X R p b 2 4 + P F N 0 Y W J s Z U V u d H J p Z X M g L z 4 8 L 0 l 0 Z W 0 + P E l 0 Z W 0 + P E l 0 Z W 1 M b 2 N h d G l v b j 4 8 S X R l b V R 5 c G U + R m 9 y b X V s Y T w v S X R l b V R 5 c G U + P E l 0 Z W 1 Q Y X R o P l N l Y 3 R p b 2 4 x L 0 R h d G U v S W 5 z Z X J 0 Z W Q l M j B E Y X k l M j B O Y W 1 l P C 9 J d G V t U G F 0 a D 4 8 L 0 l 0 Z W 1 M b 2 N h d G l v b j 4 8 U 3 R h Y m x l R W 5 0 c m l l c y A v P j w v S X R l b T 4 8 S X R l b T 4 8 S X R l b U x v Y 2 F 0 a W 9 u P j x J d G V t V H l w Z T 5 G b 3 J t d W x h P C 9 J d G V t V H l w Z T 4 8 S X R l b V B h d G g + U 2 V j d G l v b j E v R G F 0 Z S 9 F e H R y Y W N 0 Z W Q l M j B G a X J z d C U y M E N o Y X J h Y 3 R l c n M x P C 9 J d G V t U G F 0 a D 4 8 L 0 l 0 Z W 1 M b 2 N h d G l v b j 4 8 U 3 R h Y m x l R W 5 0 c m l l c y A v P j w v S X R l b T 4 8 S X R l b T 4 8 S X R l b U x v Y 2 F 0 a W 9 u P j x J d G V t V H l w Z T 5 G b 3 J t d W x h P C 9 J d G V t V H l w Z T 4 8 S X R l b V B h d G g + U 2 V j d G l v b j E v R G F 0 Z S 9 J b n N l c n R l Z C U y M E R h e S U y M G 9 m J T I w V 2 V l a z w v S X R l b V B h d G g + P C 9 J d G V t T G 9 j Y X R p b 2 4 + P F N 0 Y W J s Z U V u d H J p Z X M g L z 4 8 L 0 l 0 Z W 0 + P E l 0 Z W 0 + P E l 0 Z W 1 M b 2 N h d G l v b j 4 8 S X R l b V R 5 c G U + R m 9 y b X V s Y T w v S X R l b V R 5 c G U + P E l 0 Z W 1 Q Y X R o P l N l Y 3 R p b 2 4 x L 0 R h d G U v Q W R k Z W Q l M j B D b 2 5 k a X R p b 2 5 h b C U y M E N v b H V t b j w v S X R l b V B h d G g + P C 9 J d G V t T G 9 j Y X R p b 2 4 + P F N 0 Y W J s Z U V u d H J p Z X M g L z 4 8 L 0 l 0 Z W 0 + P E l 0 Z W 0 + P E l 0 Z W 1 M b 2 N h d G l v b j 4 8 S X R l b V R 5 c G U + R m 9 y b X V s Y T w v S X R l b V R 5 c G U + P E l 0 Z W 1 Q Y X R o P l N l Y 3 R p b 2 4 x L 0 R h d G U v U m V u Y W 1 l Z C U y M E N v b H V t b n M y P C 9 J d G V t U G F 0 a D 4 8 L 0 l 0 Z W 1 M b 2 N h d G l v b j 4 8 U 3 R h Y m x l R W 5 0 c m l l c y A v P j w v S X R l b T 4 8 S X R l b T 4 8 S X R l b U x v Y 2 F 0 a W 9 u P j x J d G V t V H l w Z T 5 G b 3 J t d W x h P C 9 J d G V t V H l w Z T 4 8 S X R l b V B h d G g + U 2 V j d G l v b j E v R G F 0 Z S 9 J b n N l c n R l Z C U y M F F 1 Y X J 0 Z X I 8 L 0 l 0 Z W 1 Q Y X R o P j w v S X R l b U x v Y 2 F 0 a W 9 u P j x T d G F i b G V F b n R y a W V z I C 8 + P C 9 J d G V t P j x J d G V t P j x J d G V t T G 9 j Y X R p b 2 4 + P E l 0 Z W 1 U e X B l P k Z v c m 1 1 b G E 8 L 0 l 0 Z W 1 U e X B l P j x J d G V t U G F 0 a D 5 T Z W N 0 a W 9 u M S 9 E Y X R l L 0 F k Z G V k J T I w U H J l Z m l 4 P C 9 J d G V t U G F 0 a D 4 8 L 0 l 0 Z W 1 M b 2 N h d G l v b j 4 8 U 3 R h Y m x l R W 5 0 c m l l c y A v P j w v S X R l b T 4 8 S X R l b T 4 8 S X R l b U x v Y 2 F 0 a W 9 u P j x J d G V t V H l w Z T 5 G b 3 J t d W x h P C 9 J d G V t V H l w Z T 4 8 S X R l b V B h d G g + U 2 V j d G l v b j E v R G F 0 Z S 9 S Z W 5 h b W V k J T I w Q 2 9 s d W 1 u c z M 8 L 0 l 0 Z W 1 Q Y X R o P j w v S X R l b U x v Y 2 F 0 a W 9 u P j x T d G F i b G V F b n R y a W V z I C 8 + P C 9 J d G V t P j x J d G V t P j x J d G V t T G 9 j Y X R p b 2 4 + P E l 0 Z W 1 U e X B l P k Z v c m 1 1 b G E 8 L 0 l 0 Z W 1 U e X B l P j x J d G V t U G F 0 a D 5 T Z W N 0 a W 9 u M S 9 E Y X R l L 0 N o Y W 5 n Z W Q l M j B U e X B l M T w v S X R l b V B h d G g + P C 9 J d G V t T G 9 j Y X R p b 2 4 + P F N 0 Y W J s Z U V u d H J p Z X M g L z 4 8 L 0 l 0 Z W 0 + P E l 0 Z W 0 + P E l 0 Z W 1 M b 2 N h d G l v b j 4 8 S X R l b V R 5 c G U + R m 9 y b X V s Y T w v S X R l b V R 5 c G U + P E l 0 Z W 1 Q Y X R o P l N l Y 3 R p b 2 4 x L 2 1 v b n R o b H l f c 3 R v c m V f d G F y Z 2 V 0 c y 9 S Z W 5 h b W V k J T I w Q 2 9 s d W 1 u c z w v S X R l b V B h d G g + P C 9 J d G V t T G 9 j Y X R p b 2 4 + P F N 0 Y W J s Z U V u d H J p Z X M g L z 4 8 L 0 l 0 Z W 0 + P E l 0 Z W 0 + P E l 0 Z W 1 M b 2 N h d G l v b j 4 8 S X R l b V R 5 c G U + R m 9 y b X V s Y T w v S X R l b V R 5 c G U + P E l 0 Z W 1 Q Y X R o P l N l Y 3 R p b 2 4 x L 0 N h b G N 1 b G F 0 a W 9 u c 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I i A v P j x F b n R y e S B U e X B l P S J G a W x s R X J y b 3 J D b 2 R l I i B W Y W x 1 Z T 0 i c 1 V u a 2 5 v d 2 4 i I C 8 + P E V u d H J 5 I F R 5 c G U 9 I k Z p b G x F c n J v c k N v d W 5 0 I i B W Y W x 1 Z T 0 i b D A i I C 8 + P E V u d H J 5 I F R 5 c G U 9 I k Z p b G x M Y X N 0 V X B k Y X R l Z C I g V m F s d W U 9 I m Q y M D I 0 L T A 1 L T A 0 V D A 3 O j A 4 O j Q 4 L j k y N D E 3 N T h a I i A v P j x F b n R y e S B U e X B l P S J G a W x s Q 2 9 s d W 1 u V H l w Z X M i I F Z h b H V l P S J z Q U E 9 P S I g L z 4 8 R W 5 0 c n k g V H l w Z T 0 i R m l s b E N v b H V t b k 5 h b W V z I i B W Y W x 1 Z T 0 i c 1 s m c X V v d D t N Z W F z d X J l c y Z x d W 9 0 O 1 0 i I C 8 + P E V u d H J 5 I F R 5 c G U 9 I k Z p b G x T d G F 0 d X M i I F Z h b H V l P S J z Q 2 9 t c G x l d G U i I C 8 + P E V u d H J 5 I F R 5 c G U 9 I l F 1 Z X J 5 S U Q i I F Z h b H V l P S J z M D h h Y j B h N 2 I t O T I y M C 0 0 Y 2 U 1 L T l m Y T M t O T d j N j I z M 2 N i Z D I y I i A v P j x F b n R y e S B U e X B l P S J S Z W x h d G l v b n N o a X B J b m Z v Q 2 9 u d G F p b m V y I i B W Y W x 1 Z T 0 i c 3 s m c X V v d D t j b 2 x 1 b W 5 D b 3 V u d C Z x d W 9 0 O z o x L C Z x d W 9 0 O 2 t l e U N v b H V t b k 5 h b W V z J n F 1 b 3 Q 7 O l t d L C Z x d W 9 0 O 3 F 1 Z X J 5 U m V s Y X R p b 2 5 z a G l w c y Z x d W 9 0 O z p b X S w m c X V v d D t j b 2 x 1 b W 5 J Z G V u d G l 0 a W V z J n F 1 b 3 Q 7 O l s m c X V v d D t T Z W N 0 a W 9 u M S 9 D Y W x j d W x h d G l v b n M v Q 2 9 u d m V y d G V k I H R v I F R h Y m x l L n t D b 2 x 1 b W 4 x L D B 9 J n F 1 b 3 Q 7 X S w m c X V v d D t D b 2 x 1 b W 5 D b 3 V u d C Z x d W 9 0 O z o x L C Z x d W 9 0 O 0 t l e U N v b H V t b k 5 h b W V z J n F 1 b 3 Q 7 O l t d L C Z x d W 9 0 O 0 N v b H V t b k l k Z W 5 0 a X R p Z X M m c X V v d D s 6 W y Z x d W 9 0 O 1 N l Y 3 R p b 2 4 x L 0 N h b G N 1 b G F 0 a W 9 u c y 9 D b 2 5 2 Z X J 0 Z W Q g d G 8 g V G F i b G U u e 0 N v b H V t b j E s M H 0 m c X V v d D t d L C Z x d W 9 0 O 1 J l b G F 0 a W 9 u c 2 h p c E l u Z m 8 m c X V v d D s 6 W 1 1 9 I i A v P j w v U 3 R h Y m x l R W 5 0 c m l l c z 4 8 L 0 l 0 Z W 0 + P E l 0 Z W 0 + P E l 0 Z W 1 M b 2 N h d G l v b j 4 8 S X R l b V R 5 c G U + R m 9 y b X V s Y T w v S X R l b V R 5 c G U + P E l 0 Z W 1 Q Y X R o P l N l Y 3 R p b 2 4 x L 0 N h b G N 1 b G F 0 a W 9 u c y 9 T b 3 V y Y 2 U 8 L 0 l 0 Z W 1 Q Y X R o P j w v S X R l b U x v Y 2 F 0 a W 9 u P j x T d G F i b G V F b n R y a W V z I C 8 + P C 9 J d G V t P j x J d G V t P j x J d G V t T G 9 j Y X R p b 2 4 + P E l 0 Z W 1 U e X B l P k Z v c m 1 1 b G E 8 L 0 l 0 Z W 1 U e X B l P j x J d G V t U G F 0 a D 5 T Z W N 0 a W 9 u M S 9 D Y W x j d W x h d G l v b n M v Q 2 9 u d m V y d G V k J T I w d G 8 l M j B U Y W J s Z T w v S X R l b V B h d G g + P C 9 J d G V t T G 9 j Y X R p b 2 4 + P F N 0 Y W J s Z U V u d H J p Z X M g L z 4 8 L 0 l 0 Z W 0 + P E l 0 Z W 0 + P E l 0 Z W 1 M b 2 N h d G l v b j 4 8 S X R l b V R 5 c G U + R m 9 y b X V s Y T w v S X R l b V R 5 c G U + P E l 0 Z W 1 Q Y X R o P l N l Y 3 R p b 2 4 x L 0 N h b G N 1 b G F 0 a W 9 u c y 9 S Z W 5 h b W V k J T I w Q 2 9 s d W 1 u c z w v S X R l b V B h d G g + P C 9 J d G V t T G 9 j Y X R p b 2 4 + P F N 0 Y W J s Z U V u d H J p Z X M g L z 4 8 L 0 l 0 Z W 0 + P E l 0 Z W 0 + P E l 0 Z W 1 M b 2 N h d G l v b j 4 8 S X R l b V R 5 c G U + R m 9 y b X V s Y T w v S X R l b V R 5 c G U + P E l 0 Z W 1 Q Y X R o P l N l Y 3 R p b 2 4 x L 2 N 1 c 3 R v b W V y c 1 9 0 Y W J s Z S 9 S Z W 9 y Z G V y Z W Q l M j B D b 2 x 1 b W 5 z P C 9 J d G V t U G F 0 a D 4 8 L 0 l 0 Z W 1 M b 2 N h d G l v b j 4 8 U 3 R h Y m x l R W 5 0 c m l l c y A v P j w v S X R l b T 4 8 S X R l b T 4 8 S X R l b U x v Y 2 F 0 a W 9 u P j x J d G V t V H l w Z T 5 G b 3 J t d W x h P C 9 J d G V t V H l w Z T 4 8 S X R l b V B h d G g + U 2 V j d G l v b j E v Y 3 V z d G 9 t Z X J z X 3 R h Y m x l L 1 N w b G l 0 J T I w Q 2 9 s d W 1 u J T I w Y n k l M j B E Z W x p b W l 0 Z X I 8 L 0 l 0 Z W 1 Q Y X R o P j w v S X R l b U x v Y 2 F 0 a W 9 u P j x T d G F i b G V F b n R y a W V z I C 8 + P C 9 J d G V t P j x J d G V t P j x J d G V t T G 9 j Y X R p b 2 4 + P E l 0 Z W 1 U e X B l P k Z v c m 1 1 b G E 8 L 0 l 0 Z W 1 U e X B l P j x J d G V t U G F 0 a D 5 T Z W N 0 a W 9 u M S 9 j d X N 0 b 2 1 l c n N f d G F i b G U v Q 2 h h b m d l Z C U y M F R 5 c G U y P C 9 J d G V t U G F 0 a D 4 8 L 0 l 0 Z W 1 M b 2 N h d G l v b j 4 8 U 3 R h Y m x l R W 5 0 c m l l c y A v P j w v S X R l b T 4 8 S X R l b T 4 8 S X R l b U x v Y 2 F 0 a W 9 u P j x J d G V t V H l w Z T 5 G b 3 J t d W x h P C 9 J d G V t V H l w Z T 4 8 S X R l b V B h d G g + U 2 V j d G l v b j E v Y 3 V z d G 9 t Z X J z X 3 R h Y m x l L 0 F k Z G V k J T I w Q 3 V z d G 9 t M T w v S X R l b V B h d G g + P C 9 J d G V t T G 9 j Y X R p b 2 4 + P F N 0 Y W J s Z U V u d H J p Z X M g L z 4 8 L 0 l 0 Z W 0 + P E l 0 Z W 0 + P E l 0 Z W 1 M b 2 N h d G l v b j 4 8 S X R l b V R 5 c G U + R m 9 y b X V s Y T w v S X R l b V R 5 c G U + P E l 0 Z W 1 Q Y X R o P l N l Y 3 R p b 2 4 x L 2 N 1 c 3 R v b W V y c 1 9 0 Y W J s Z S 9 S Z W 1 v d m V k J T I w Q 2 9 s d W 1 u c z w v S X R l b V B h d G g + P C 9 J d G V t T G 9 j Y X R p b 2 4 + P F N 0 Y W J s Z U V u d H J p Z X M g L z 4 8 L 0 l 0 Z W 0 + P E l 0 Z W 0 + P E l 0 Z W 1 M b 2 N h d G l v b j 4 8 S X R l b V R 5 c G U + R m 9 y b X V s Y T w v S X R l b V R 5 c G U + P E l 0 Z W 1 Q Y X R o P l N l Y 3 R p b 2 4 x L 2 N 1 c 3 R v b W V y c 1 9 0 Y W J s Z S 9 B Z G R l Z C U y M E N 1 c 3 R v b T I 8 L 0 l 0 Z W 1 Q Y X R o P j w v S X R l b U x v Y 2 F 0 a W 9 u P j x T d G F i b G V F b n R y a W V z I C 8 + P C 9 J d G V t P j x J d G V t P j x J d G V t T G 9 j Y X R p b 2 4 + P E l 0 Z W 1 U e X B l P k Z v c m 1 1 b G E 8 L 0 l 0 Z W 1 U e X B l P j x J d G V t U G F 0 a D 5 T Z W N 0 a W 9 u M S 9 j d X N 0 b 2 1 l c n N f d G F i b G U v U m V t b 3 Z l Z C U y M E N v b H V t b n M x P C 9 J d G V t U G F 0 a D 4 8 L 0 l 0 Z W 1 M b 2 N h d G l v b j 4 8 U 3 R h Y m x l R W 5 0 c m l l c y A v P j w v S X R l b T 4 8 S X R l b T 4 8 S X R l b U x v Y 2 F 0 a W 9 u P j x J d G V t V H l w Z T 5 G b 3 J t d W x h P C 9 J d G V t V H l w Z T 4 8 S X R l b V B h d G g + U 2 V j d G l v b j E v Y 3 V z d G 9 t Z X J z X 3 R h Y m x l L 1 J l b 3 J k Z X J l Z C U y M E N v b H V t b n M x P C 9 J d G V t U G F 0 a D 4 8 L 0 l 0 Z W 1 M b 2 N h d G l v b j 4 8 U 3 R h Y m x l R W 5 0 c m l l c y A v P j w v S X R l b T 4 8 S X R l b T 4 8 S X R l b U x v Y 2 F 0 a W 9 u P j x J d G V t V H l w Z T 5 G b 3 J t d W x h P C 9 J d G V t V H l w Z T 4 8 S X R l b V B h d G g + U 2 V j d G l v b j E v Y 3 V z d G 9 t Z X J z X 3 R h Y m x l L 0 F k Z G V k J T I w Q 2 9 u Z G l 0 a W 9 u Y W w l M j B D b 2 x 1 b W 4 8 L 0 l 0 Z W 1 Q Y X R o P j w v S X R l b U x v Y 2 F 0 a W 9 u P j x T d G F i b G V F b n R y a W V z I C 8 + P C 9 J d G V t P j x J d G V t P j x J d G V t T G 9 j Y X R p b 2 4 + P E l 0 Z W 1 U e X B l P k Z v c m 1 1 b G E 8 L 0 l 0 Z W 1 U e X B l P j x J d G V t U G F 0 a D 5 T Z W N 0 a W 9 u M S 9 j d X N 0 b 2 1 l c n N f d G F i b G U v U m V w b G F j Z W Q l M j B W Y W x 1 Z T w v S X R l b V B h d G g + P C 9 J d G V t T G 9 j Y X R p b 2 4 + P F N 0 Y W J s Z U V u d H J p Z X M g L z 4 8 L 0 l 0 Z W 0 + P E l 0 Z W 0 + P E l 0 Z W 1 M b 2 N h d G l v b j 4 8 S X R l b V R 5 c G U + R m 9 y b X V s Y T w v S X R l b V R 5 c G U + P E l 0 Z W 1 Q Y X R o P l N l Y 3 R p b 2 4 x L 2 N 1 c 3 R v b W V y c 1 9 0 Y W J s Z S 9 S Z W 1 v d m V k J T I w Q 2 9 s d W 1 u c z I 8 L 0 l 0 Z W 1 Q Y X R o P j w v S X R l b U x v Y 2 F 0 a W 9 u P j x T d G F i b G V F b n R y a W V z I C 8 + P C 9 J d G V t P j x J d G V t P j x J d G V t T G 9 j Y X R p b 2 4 + P E l 0 Z W 1 U e X B l P k Z v c m 1 1 b G E 8 L 0 l 0 Z W 1 U e X B l P j x J d G V t U G F 0 a D 5 T Z W N 0 a W 9 u M S 9 j d X N 0 b 2 1 l c n N f d G F i b G U v U m V v c m R l c m V k J T I w Q 2 9 s d W 1 u c z I 8 L 0 l 0 Z W 1 Q Y X R o P j w v S X R l b U x v Y 2 F 0 a W 9 u P j x T d G F i b G V F b n R y a W V z I C 8 + P C 9 J d G V t P j x J d G V t P j x J d G V t T G 9 j Y X R p b 2 4 + P E l 0 Z W 1 U e X B l P k Z v c m 1 1 b G E 8 L 0 l 0 Z W 1 U e X B l P j x J d G V t U G F 0 a D 5 T Z W N 0 a W 9 u M S 9 j d X N 0 b 2 1 l c n N f d G F i b G U v Q 2 h h b m d l Z C U y M F R 5 c G U z P C 9 J d G V t U G F 0 a D 4 8 L 0 l 0 Z W 1 M b 2 N h d G l v b j 4 8 U 3 R h Y m x l R W 5 0 c m l l c y A v P j w v S X R l b T 4 8 L 0 l 0 Z W 1 z P j w v T G 9 j Y W x Q Y W N r Y W d l T W V 0 Y W R h d G F G a W x l P h Y A A A B Q S w U G A A A A A A A A A A A A A A A A A A A A A A A A J g E A A A E A A A D Q j J 3 f A R X R E Y x 6 A M B P w p f r A Q A A A F p / + p x p B V h P j J D z t A Z h f 8 c A A A A A A g A A A A A A E G Y A A A A B A A A g A A A A b o N I e f I 6 l P c 2 3 q R T H i 3 e 6 4 d k y K g 4 C k C q a A 3 N p Z 9 u D 1 E A A A A A D o A A A A A C A A A g A A A A 3 L R P Y R G O p 4 I h w P i B + k n k i s 4 Q l 1 Q G Y O A 6 G m F Y Z c T A v V 5 Q A A A A O O L i M U a A M l b K D e H X b c b o t 5 Y L c o / F Z S J y B 9 V z M g N Y O j 9 U k S 5 L N m 9 I + s p m L 6 9 y t M 1 L O j H y b D L 4 i / c Z P 2 j d 6 4 P o n s I P 0 G J P A W S U E S b P Z C y x l V t A A A A A 8 9 t U t U H D K n R 8 W D Y p Z f 8 7 2 6 a K U F u 1 z T O T z l c u o u c l Z Y r t 0 2 G c / B h V e M p p N L F e Q 0 3 / z X U N i O w 1 V C V r E I 2 J o W d m I w = = < / D a t a M a s h u p > 
</file>

<file path=customXml/item15.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  D a t e & l t ; / K e y & g t ; & l t ; / a : K e y & g t ; & l t ; a : V a l u e 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M o n t h   N o . & l t ; / K e y & g t ; & l t ; / a : K e y & g t ; & l t ; a : V a l u e   i : t y p e = " T a b l e W i d g e t B a s e V i e w S t a t e " / & g t ; & l t ; / a : K e y V a l u e O f D i a g r a m O b j e c t K e y a n y T y p e z b w N T n L X & g t ; & l t ; a : K e y V a l u e O f D i a g r a m O b j e c t K e y a n y T y p e z b w N T n L X & g t ; & l t ; a : K e y & g t ; & l t ; K e y & g t ; C o l u m n s \ D a y   N a m e & l t ; / K e y & g t ; & l t ; / a : K e y & g t ; & l t ; a : V a l u e   i : t y p e = " T a b l e W i d g e t B a s e V i e w S t a t e " / & g t ; & l t ; / a : K e y V a l u e O f D i a g r a m O b j e c t K e y a n y T y p e z b w N T n L X & g t ; & l t ; a : K e y V a l u e O f D i a g r a m O b j e c t K e y a n y T y p e z b w N T n L X & g t ; & l t ; a : K e y & g t ; & l t ; K e y & g t ; C o l u m n s \ W e e k   N o & l t ; / K e y & g t ; & l t ; / a : K e y & g t ; & l t ; a : V a l u e   i : t y p e = " T a b l e W i d g e t B a s e V i e w S t a t e " / & g t ; & l t ; / a : K e y V a l u e O f D i a g r a m O b j e c t K e y a n y T y p e z b w N T n L X & g t ; & l t ; a : K e y V a l u e O f D i a g r a m O b j e c t K e y a n y T y p e z b w N T n L X & g t ; & l t ; a : K e y & g t ; & l t ; K e y & g t ; C o l u m n s \ W e e k T y p e & l t ; / K e y & g t ; & l t ; / a : K e y & g t ; & l t ; a : V a l u e   i : t y p e = " T a b l e W i d g e t B a s e V i e w S t a t e " / & g t ; & l t ; / a : K e y V a l u e O f D i a g r a m O b j e c t K e y a n y T y p e z b w N T n L X & g t ; & l t ; a : K e y V a l u e O f D i a g r a m O b j e c t K e y a n y T y p e z b w N T n L X & g t ; & l t ; a : K e y & g t ; & l t ; K e y & g t ; C o l u m n s \ Q u a r t 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a c t _ t a b l 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 i : t y p e = " S a n d b o x E d i t o r T a b l e W i d g e t V i e w M o d e l K e y " & g t ; & l t ; T a b l e N a m e & g t ; f a c t _ t a b l e & l t ; / T a b l e N a m e & g t ; & l t ; / K e y & g t ; & l t ; M a i n t a i n e r 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  I D & l t ; / K e y & g t ; & l t ; / a : K e y & g t ; & l t ; a : V a l u e   i : t y p e = " T a b l e W i d g e t B a s e V i e w S t a t e " / & g t ; & l t ; / a : K e y V a l u e O f D i a g r a m O b j e c t K e y a n y T y p e z b w N T n L X & g t ; & l t ; a : K e y V a l u e O f D i a g r a m O b j e c t K e y a n y T y p e z b w N T n L X & g t ; & l t ; a : K e y & g t ; & l t ; K e y & g t ; C o l u m n s \ C u s t o m e r   I D & l t ; / K e y & g t ; & l t ; / a : K e y & g t ; & l t ; a : V a l u e   i : t y p e = " T a b l e W i d g e t B a s e V i e w S t a t e " / & g t ; & l t ; / a : K e y V a l u e O f D i a g r a m O b j e c t K e y a n y T y p e z b w N T n L X & g t ; & l t ; a : K e y V a l u e O f D i a g r a m O b j e c t K e y a n y T y p e z b w N T n L X & g t ; & l t ; a : K e y & g t ; & l t ; K e y & g t ; C o l u m n s \ S a l e s   P e r s o n   I D & l t ; / K e y & g t ; & l t ; / a : K e y & g t ; & l t ; a : V a l u e   i : t y p e = " T a b l e W i d g e t B a s e V i e w S t a t e " / & g t ; & l t ; / a : K e y V a l u e O f D i a g r a m O b j e c t K e y a n y T y p e z b w N T n L X & g t ; & l t ; a : K e y V a l u e O f D i a g r a m O b j e c t K e y a n y T y p e z b w N T n L X & g t ; & l t ; a : K e y & g t ; & l t ; K e y & g t ; C o l u m n s \ Q u a n t i t y   S o l d & l t ; / K e y & g t ; & l t ; / a : K e y & g t ; & l t ; a : V a l u e   i : t y p e = " T a b l e W i d g e t B a s e V i e w S t a t e " / & g t ; & l t ; / a : K e y V a l u e O f D i a g r a m O b j e c t K e y a n y T y p e z b w N T n L X & g t ; & l t ; a : K e y V a l u e O f D i a g r a m O b j e c t K e y a n y T y p e z b w N T n L X & g t ; & l t ; a : K e y & g t ; & l t ; K e y & g t ; C o l u m n s \ P a y m e n t   M e t h o d & l t ; / K e y & g t ; & l t ; / a : K e y & g t ; & l t ; a : V a l u e   i : t y p e = " T a b l e W i d g e t B a s e V i e w S t a t e " / & g t ; & l t ; / a : K e y V a l u e O f D i a g r a m O b j e c t K e y a n y T y p e z b w N T n L X & g t ; & l t ; a : K e y V a l u e O f D i a g r a m O b j e c t K e y a n y T y p e z b w N T n L X & g t ; & l t ; a : K e y & g t ; & l t ; K e y & g t ; C o l u m n s \ Q u a n t i t y   R e t u r n e d & l t ; / K e y & g t ; & l t ; / a : K e y & g t ; & l t ; a : V a l u e   i : t y p e = " T a b l e W i d g e t B a s e V i e w S t a t e " / & g t ; & l t ; / a : K e y V a l u e O f D i a g r a m O b j e c t K e y a n y T y p e z b w N T n L X & g t ; & l t ; a : K e y V a l u e O f D i a g r a m O b j e c t K e y a n y T y p e z b w N T n L X & g t ; & l t ; a : K e y & g t ; & l t ; K e y & g t ; C o l u m n s \ O r d e r   D a t e & l t ; / K e y & g t ; & l t ; / a : K e y & g t ; & l t ; a : V a l u e 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a l c u l a t i o n 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 i : t y p e = " S a n d b o x E d i t o r T a b l e W i d g e t V i e w M o d e l K e y " & g t ; & l t ; T a b l e N a m e & g t ; C a l c u l a t i o n s & l t ; / T a b l e N a m e & g t ; & l t ; / K e y & g t ; & l t ; M a i n t a i n e r 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M e a s u r e 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r o d u c t s _ t a b l 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 i : t y p e = " S a n d b o x E d i t o r T a b l e W i d g e t V i e w M o d e l K e y " & g t ; & l t ; T a b l e N a m e & g t ; p r o d u c t s _ t a b l e & l t ; / T a b l e N a m e & g t ; & l t ; / K e y & g t ; & l t ; M a i n t a i n e r 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  I D & l t ; / K e y & g t ; & l t ; / a : K e y & g t ; & l t ; a : V a l u e   i : t y p e = " T a b l e W i d g e t B a s e V i e w S t a t e " / & g t ; & l t ; / a : K e y V a l u e O f D i a g r a m O b j e c t K e y a n y T y p e z b w N T n L X & g t ; & l t ; a : K e y V a l u e O f D i a g r a m O b j e c t K e y a n y T y p e z b w N T n L X & g t ; & l t ; a : K e y & g t ; & l t ; K e y & g t ; C o l u m n s \ P r o d u c t   N a m e & l t ; / K e y & g t ; & l t ; / a : K e y & g t ; & l t ; a : V a l u e 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S a l e s   P r i c e & l t ; / K e y & g t ; & l t ; / a : K e y & g t ; & l t ; a : V a l u e   i : t y p e = " T a b l e W i d g e t B a s e V i e w S t a t e " / & g t ; & l t ; / a : K e y V a l u e O f D i a g r a m O b j e c t K e y a n y T y p e z b w N T n L X & g t ; & l t ; a : K e y V a l u e O f D i a g r a m O b j e c t K e y a n y T y p e z b w N T n L X & g t ; & l t ; a : K e y & g t ; & l t ; K e y & g t ; C o l u m n s \ C o s t   P r i c e & l t ; / K e y & g t ; & l t ; / a : K e y & g t ; & l t ; a : V a l u e 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s a l e s _ p e r s o n s _ t a b l 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 i : t y p e = " S a n d b o x E d i t o r T a b l e W i d g e t V i e w M o d e l K e y " & g t ; & l t ; T a b l e N a m e & g t ; s a l e s _ p e r s o n s _ t a b l e & l t ; / T a b l e N a m e & g t ; & l t ; / K e y & g t ; & l t ; M a i n t a i n e r 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a l e s   P e r s o n   I D & l t ; / K e y & g t ; & l t ; / a : K e y & g t ; & l t ; a : V a l u e   i : t y p e = " T a b l e W i d g e t B a s e V i e w S t a t e " / & g t ; & l t ; / a : K e y V a l u e O f D i a g r a m O b j e c t K e y a n y T y p e z b w N T n L X & g t ; & l t ; a : K e y V a l u e O f D i a g r a m O b j e c t K e y a n y T y p e z b w N T n L X & g t ; & l t ; a : K e y & g t ; & l t ; K e y & g t ; C o l u m n s \ F u l l   N a m e & l t ; / K e y & g t ; & l t ; / a : K e y & g t ; & l t ; a : V a l u e   i : t y p e = " T a b l e W i d g e t B a s e V i e w S t a t e " / & g t ; & l t ; / a : K e y V a l u e O f D i a g r a m O b j e c t K e y a n y T y p e z b w N T n L X & g t ; & l t ; a : K e y V a l u e O f D i a g r a m O b j e c t K e y a n y T y p e z b w N T n L X & g t ; & l t ; a : K e y & g t ; & l t ; K e y & g t ; C o l u m n s \ S t o r e   N a m e & l t ; / K e y & g t ; & l t ; / a : K e y & g t ; & l t ; a : V a l u e   i : t y p e = " T a b l e W i d g e t B a s e V i e w S t a t e " / & g t ; & l t ; / a : K e y V a l u e O f D i a g r a m O b j e c t K e y a n y T y p e z b w N T n L X & g t ; & l t ; a : K e y V a l u e O f D i a g r a m O b j e c t K e y a n y T y p e z b w N T n L X & g t ; & l t ; a : K e y & g t ; & l t ; K e y & g t ; C o l u m n s \ S a l e s   P e r s o n   A g e & l t ; / K e y & g t ; & l t ; / a : K e y & g t ; & l t ; a : V a l u e 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m o n t h l y _ s t o r e _ t a r g e t 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 i : t y p e = " S a n d b o x E d i t o r T a b l e W i d g e t V i e w M o d e l K e y " & g t ; & l t ; T a b l e N a m e & g t ; m o n t h l y _ s t o r e _ t a r g e t s & l t ; / T a b l e N a m e & g t ; & l t ; / K e y & g t ; & l t ; M a i n t a i n e r 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t o r e   I D & l t ; / K e y & g t ; & l t ; / a : K e y & g t ; & l t ; a : V a l u e 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M o n t h l y   T a r g e t & l t ; / K e y & g t ; & l t ; / a : K e y & g t ; & l t ; a : V a l u e 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u s t o m e r s _ t a b l 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 i : t y p e = " S a n d b o x E d i t o r T a b l e W i d g e t V i e w M o d e l K e y " & g t ; & l t ; T a b l e N a m e & g t ; c u s t o m e r s _ t a b l e & l t ; / T a b l e N a m e & g t ; & l t ; / K e y & g t ; & l t ; M a i n t a i n e r 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  I D & l t ; / K e y & g t ; & l t ; / a : K e y & g t ; & l t ; a : V a l u e   i : t y p e = " T a b l e W i d g e t B a s e V i e w S t a t e " / & g t ; & l t ; / a : K e y V a l u e O f D i a g r a m O b j e c t K e y a n y T y p e z b w N T n L X & g t ; & l t ; a : K e y V a l u e O f D i a g r a m O b j e c t K e y a n y T y p e z b w N T n L X & g t ; & l t ; a : K e y & g t ; & l t ; K e y & g t ; C o l u m n s \ F u l l   N a m e & l t ; / K e y & g t ; & l t ; / a : K e y & g t ; & l t ; a : V a l u e 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L o c a t i o n & l t ; / K e y & g t ; & l t ; / a : K e y & g t ; & l t ; a : V a l u e   i : t y p e = " T a b l e W i d g e t B a s e V i e w S t a t e " / & g t ; & l t ; / a : K e y V a l u e O f D i a g r a m O b j e c t K e y a n y T y p e z b w N T n L X & g t ; & l t ; a : K e y V a l u e O f D i a g r a m O b j e c t K e y a n y T y p e z b w N T n L X & g t ; & l t ; a : K e y & g t ; & l t ; K e y & g t ; C o l u m n s \ C u s t o m e r   A g e & l t ; / K e y & g t ; & l t ; / a : K e y & g t ; & l t ; a : V a l u e   i : t y p e = " T a b l e W i d g e t B a s e V i e w S t a t e " / & g t ; & l t ; / a : K e y V a l u e O f D i a g r a m O b j e c t K e y a n y T y p e z b w N T n L X & g t ; & l t ; a : K e y V a l u e O f D i a g r a m O b j e c t K e y a n y T y p e z b w N T n L X & g t ; & l t ; a : K e y & g t ; & l t ; K e y & g t ; C o l u m n s \ C u s t o m e r   A g e   G r p & l t ; / K e y & g t ; & l t ; / a : K e y & g t ; & l t ; a : V a l u e   i : t y p e = " T a b l e W i d g e t B a s e V i e w S t a t e " / & g t ; & l t ; / a : K e y V a l u e O f D i a g r a m O b j e c t K e y a n y T y p e z b w N T n L X & g t ; & l t ; a : K e y V a l u e O f D i a g r a m O b j e c t K e y a n y T y p e z b w N T n L X & g t ; & l t ; a : K e y & g t ; & l t ; K e y & g t ; C o l u m n s \ D a t e   o f   B i r t h & l t ; / K e y & g t ; & l t ; / a : K e y & g t ; & l t ; a : V a l u e 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6.xml>��< ? x m l   v e r s i o n = " 1 . 0 "   e n c o d i n g = " U T F - 1 6 " ? > < G e m i n i   x m l n s = " h t t p : / / g e m i n i / p i v o t c u s t o m i z a t i o n / b a e 9 6 0 2 2 - 7 d 9 d - 4 1 e 7 - b 2 2 8 - 3 c 9 9 1 6 6 a e b 1 e " > < 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  % < / M e a s u r e N a m e > < D i s p l a y N a m e > P r o f i t   M a r g i n   % < / 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C a l c u l a t e d F i e l d s > < S A H o s t H a s h > 0 < / S A H o s t H a s h > < G e m i n i F i e l d L i s t V i s i b l e > T r u e < / G e m i n i F i e l d L i s t V i s i b l e > < / S e t t i n g s > ] ] > < / C u s t o m C o n t e n t > < / G e m i n i > 
</file>

<file path=customXml/item17.xml>��< ? x m l   v e r s i o n = " 1 . 0 "   e n c o d i n g = " U T F - 1 6 " ? > < G e m i n i   x m l n s = " h t t p : / / g e m i n i / p i v o t c u s t o m i z a t i o n / S h o w H i d d e n " > < C u s t o m C o n t e n t > < ! [ C D A T A [ T r u e ] ] > < / C u s t o m C o n t e n t > < / G e m i n i > 
</file>

<file path=customXml/item18.xml>��< ? x m l   v e r s i o n = " 1 . 0 "   e n c o d i n g = " U T F - 1 6 " ? > < G e m i n i   x m l n s = " h t t p : / / g e m i n i / p i v o t c u s t o m i z a t i o n / T a b l e X M L _ f a c t _ t a b l e _ 4 7 b 3 3 f c 7 - 9 f 7 5 - 4 7 d 2 - 8 4 4 a - 1 9 8 3 6 4 9 2 f f 0 1 " > < 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 C u s t o m e r   I D < / s t r i n g > < / k e y > < v a l u e > < i n t > 1 1 2 < / i n t > < / v a l u e > < / i t e m > < i t e m > < k e y > < s t r i n g > S a l e s   P e r s o n   I D < / s t r i n g > < / k e y > < v a l u e > < i n t > 1 3 0 < / i n t > < / v a l u e > < / i t e m > < i t e m > < k e y > < s t r i n g > Q u a n t i t y   S o l d < / s t r i n g > < / k e y > < v a l u e > < i n t > 1 1 9 < / i n t > < / v a l u e > < / i t e m > < i t e m > < k e y > < s t r i n g > P a y m e n t   M e t h o d < / s t r i n g > < / k e y > < v a l u e > < i n t > 1 4 3 < / i n t > < / v a l u e > < / i t e m > < i t e m > < k e y > < s t r i n g > Q u a n t i t y   R e t u r n e d < / s t r i n g > < / k e y > < v a l u e > < i n t > 1 5 0 < / i n t > < / v a l u e > < / i t e m > < i t e m > < k e y > < s t r i n g > O r d e r   D a t e < / s t r i n g > < / k e y > < v a l u e > < i n t > 1 0 4 < / i n t > < / v a l u e > < / i t e m > < / C o l u m n W i d t h s > < C o l u m n D i s p l a y I n d e x > < i t e m > < k e y > < s t r i n g > P r o d u c t   I D < / s t r i n g > < / k e y > < v a l u e > < i n t > 0 < / i n t > < / v a l u e > < / i t e m > < i t e m > < k e y > < s t r i n g > C u s t o m e r   I D < / s t r i n g > < / k e y > < v a l u e > < i n t > 1 < / i n t > < / v a l u e > < / i t e m > < i t e m > < k e y > < s t r i n g > S a l e s   P e r s o n   I D < / s t r i n g > < / k e y > < v a l u e > < i n t > 2 < / i n t > < / v a l u e > < / i t e m > < i t e m > < k e y > < s t r i n g > Q u a n t i t y   S o l d < / s t r i n g > < / k e y > < v a l u e > < i n t > 3 < / i n t > < / v a l u e > < / i t e m > < i t e m > < k e y > < s t r i n g > P a y m e n t   M e t h o d < / s t r i n g > < / k e y > < v a l u e > < i n t > 4 < / i n t > < / v a l u e > < / i t e m > < i t e m > < k e y > < s t r i n g > Q u a n t i t y   R e t u r n e d < / s t r i n g > < / k e y > < v a l u e > < i n t > 5 < / i n t > < / v a l u e > < / i t e m > < i t e m > < k e y > < s t r i n g > O r d e r   D a t e < / 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5 a e 8 3 4 6 d - 8 a 8 5 - 4 d e d - 9 4 d 4 - 9 4 9 9 4 6 4 3 9 0 f e " > < C u s t o m C o n t e n t > < ! [ C D A T A [ < ? x m l   v e r s i o n = " 1 . 0 "   e n c o d i n g = " u t f - 1 6 " ? > < S e t t i n g s > < C a l c u l a t e d F i e l d s > < i t e m > < M e a s u r e N a m e > T o t a l   R e v e n u e < / M e a s u r e N a m e > < D i s p l a y N a m e > T o t a l   R e v e n u e < / D i s p l a y N a m e > < V i s i b l e > F a l s e < / V i s i b l e > < / i t e m > < i t e m > < M e a s u r e N a m e > C O G S < / M e a s u r e N a m e > < D i s p l a y N a m e > C O G S < / D i s p l a y N a m e > < V i s i b l e > T r u e < / V i s i b l e > < / i t e m > < i t e m > < M e a s u r e N a m e > P r o f i t   M a r g i n < / M e a s u r e N a m e > < D i s p l a y N a m e > P r o f i t   M a r g i n < / D i s p l a y N a m e > < V i s i b l e > T r u e < / V i s i b l e > < / i t e m > < i t e m > < M e a s u r e N a m e > P r o f i t   M a r g i n   % < / M e a s u r e N a m e > < D i s p l a y N a m e > P r o f i t   M a r g i n   % < / D i s p l a y N a m e > < V i s i b l e > T r u e < / V i s i b l e > < / i t e m > < i t e m > < M e a s u r e N a m e > #   T r a n s a c t i o n s < / M e a s u r e N a m e > < D i s p l a y N a m e > #   T r a n s a c t i o n s < / D i s p l a y N a m e > < V i s i b l e > T r u e < / V i s i b l e > < / i t e m > < i t e m > < M e a s u r e N a m e > T o t a l   R e f u n d < / M e a s u r e N a m e > < D i s p l a y N a m e > T o t a l   R e f u n d < / D i s p l a y N a m e > < V i s i b l e > F a l s e < / V i s i b l e > < / i t e m > < i t e m > < M e a s u r e N a m e > R e f u n d   R a t e < / M e a s u r e N a m e > < D i s p l a y N a m e > R e f u n d   R a t e < / D i s p l a y N a m e > < V i s i b l e > T r u e < / V i s i b l e > < / i t e m > < i t e m > < M e a s u r e N a m e > #   P r o d u c t s < / M e a s u r e N a m e > < D i s p l a y N a m e > #   P r o d u c t s < / D i s p l a y N a m e > < V i s i b l e > T r u e < / V i s i b l e > < / i t e m > < i t e m > < M e a s u r e N a m e > T o t a l   T a r g e t < / M e a s u r e N a m e > < D i s p l a y N a m e > T o t a l   T a r g e t < / D i s p l a y N a m e > < V i s i b l e > T r u e < / V i s i b l e > < / i t e m > < / C a l c u l a t e d F i e l d s > < S A H o s t H a s h > 0 < / S A H o s t H a s h > < G e m i n i F i e l d L i s t V i s i b l e > T r u e < / G e m i n i F i e l d L i s t V i s i b l e > < / S e t t i n g s > ] ] > < / C u s t o m C o n t e n t > < / G e m i n i > 
</file>

<file path=customXml/item2.xml>��< ? x m l   v e r s i o n = " 1 . 0 "   e n c o d i n g = " U T F - 1 6 " ? > < G e m i n i   x m l n s = " h t t p : / / g e m i n i / p i v o t c u s t o m i z a t i o n / T a b l e X M L _ s a l e s _ p e r s o n s _ t a b l e _ 9 9 1 2 f 8 a 7 - 8 f 9 e - 4 d a 1 - 9 e 7 c - f 5 f a 7 2 b e 4 4 5 7 " > < C u s t o m C o n t e n t > < ! [ C D A T A [ < T a b l e W i d g e t G r i d S e r i a l i z a t i o n   x m l n s : x s d = " h t t p : / / w w w . w 3 . o r g / 2 0 0 1 / X M L S c h e m a "   x m l n s : x s i = " h t t p : / / w w w . w 3 . o r g / 2 0 0 1 / X M L S c h e m a - i n s t a n c e " > < C o l u m n S u g g e s t e d T y p e   / > < C o l u m n F o r m a t   / > < C o l u m n A c c u r a c y   / > < C o l u m n C u r r e n c y S y m b o l   / > < C o l u m n P o s i t i v e P a t t e r n   / > < C o l u m n N e g a t i v e P a t t e r n   / > < C o l u m n W i d t h s > < i t e m > < k e y > < s t r i n g > S a l e s   P e r s o n   I D < / s t r i n g > < / k e y > < v a l u e > < i n t > 1 3 0 < / i n t > < / v a l u e > < / i t e m > < i t e m > < k e y > < s t r i n g > F u l l   N a m e < / s t r i n g > < / k e y > < v a l u e > < i n t > 9 9 < / i n t > < / v a l u e > < / i t e m > < i t e m > < k e y > < s t r i n g > S t o r e   N a m e < / s t r i n g > < / k e y > < v a l u e > < i n t > 1 0 9 < / i n t > < / v a l u e > < / i t e m > < i t e m > < k e y > < s t r i n g > S a l e s   P e r s o n   A g e < / s t r i n g > < / k e y > < v a l u e > < i n t > 1 4 1 < / i n t > < / v a l u e > < / i t e m > < / C o l u m n W i d t h s > < C o l u m n D i s p l a y I n d e x > < i t e m > < k e y > < s t r i n g > S a l e s   P e r s o n   I D < / s t r i n g > < / k e y > < v a l u e > < i n t > 0 < / i n t > < / v a l u e > < / i t e m > < i t e m > < k e y > < s t r i n g > F u l l   N a m e < / s t r i n g > < / k e y > < v a l u e > < i n t > 1 < / i n t > < / v a l u e > < / i t e m > < i t e m > < k e y > < s t r i n g > S t o r e   N a m e < / s t r i n g > < / k e y > < v a l u e > < i n t > 2 < / i n t > < / v a l u e > < / i t e m > < i t e m > < k e y > < s t r i n g > S a l e s   P e r s o n   A g e < / 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c 4 3 2 1 e a 4 - b 4 6 8 - 4 b 0 7 - a 0 6 a - 1 1 a e 3 a 0 7 b 6 f c " > < 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  % < / M e a s u r e N a m e > < D i s p l a y N a m e > P r o f i t   M a r g i n   % < / 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C a l c u l a t e d F i e l d s > < S A H o s t H a s h > 0 < / S A H o s t H a s h > < G e m i n i F i e l d L i s t V i s i b l e > T r u e < / G e m i n i F i e l d L i s t V i s i b l e > < / S e t t i n g s > ] ] > < / C u s t o m C o n t e n t > < / G e m i n i > 
</file>

<file path=customXml/item21.xml>��< ? x m l   v e r s i o n = " 1 . 0 "   e n c o d i n g = " U T F - 1 6 " ? > < G e m i n i   x m l n s = " h t t p : / / g e m i n i / p i v o t c u s t o m i z a t i o n / 6 e a d 9 a 8 b - 0 6 e 4 - 4 2 b 9 - 9 4 a d - 7 c 6 a b 9 8 e 3 b b 8 " > < 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  % < / M e a s u r e N a m e > < D i s p l a y N a m e > P r o f i t   M a r g i n   % < / 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C a l c u l a t e d F i e l d s > < S A H o s t H a s h > 0 < / S A H o s t H a s h > < G e m i n i F i e l d L i s t V i s i b l e > T r u e < / G e m i n i F i e l d L i s t V i s i b l e > < / S e t t i n g s > ] ] > < / C u s t o m C o n t e n t > < / G e m i n i > 
</file>

<file path=customXml/item22.xml>��< ? x m l   v e r s i o n = " 1 . 0 "   e n c o d i n g = " U T F - 1 6 " ? > < G e m i n i   x m l n s = " h t t p : / / g e m i n i / p i v o t c u s t o m i z a t i o n / 9 8 d 2 1 e c 4 - 6 3 3 1 - 4 4 2 7 - 9 3 8 d - 8 0 b 7 b 8 4 5 5 6 b 3 " > < 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  % < / M e a s u r e N a m e > < D i s p l a y N a m e > P r o f i t   M a r g i n   % < / 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C a l c u l a t e d F i e l d s > < S A H o s t H a s h > 0 < / S A H o s t H a s h > < G e m i n i F i e l d L i s t V i s i b l e > T r u e < / G e m i n i F i e l d L i s t V i s i b l e > < / S e t t i n g s > ] ] > < / C u s t o m C o n t e n t > < / G e m i n i > 
</file>

<file path=customXml/item23.xml>��< ? x m l   v e r s i o n = " 1 . 0 "   e n c o d i n g = " U T F - 1 6 " ? > < G e m i n i   x m l n s = " h t t p : / / g e m i n i / p i v o t c u s t o m i z a t i o n / 8 f 4 e 5 3 2 e - 7 c 9 4 - 4 7 6 a - 9 f 4 6 - b 4 2 d 0 1 a d 0 a 7 0 " > < 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  % < / M e a s u r e N a m e > < D i s p l a y N a m e > P r o f i t   M a r g i n   % < / 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i t e m > < M e a s u r e N a m e > A v e r a g e   C u s t o m e r   A g e < / M e a s u r e N a m e > < D i s p l a y N a m e > A v e r a g e   C u s t o m e r   A g e < / D i s p l a y N a m e > < V i s i b l e > F a l s e < / V i s i b l e > < / i t e m > < i t e m > < M e a s u r e N a m e > R e t u r n   R a t e < / M e a s u r e N a m e > < D i s p l a y N a m e > R e t u r n   R a t e < / D i s p l a y N a m e > < V i s i b l e > F a l s e < / V i s i b l e > < / i t e m > < / C a l c u l a t e d F i e l d s > < S A H o s t H a s h > 0 < / S A H o s t H a s h > < G e m i n i F i e l d L i s t V i s i b l e > T r u e < / G e m i n i F i e l d L i s t V i s i b l e > < / S e t t i n g s > ] ] > < / C u s t o m C o n t e n t > < / G e m i n i > 
</file>

<file path=customXml/item24.xml>��< ? x m l   v e r s i o n = " 1 . 0 "   e n c o d i n g = " U T F - 1 6 " ? > < G e m i n i   x m l n s = " h t t p : / / g e m i n i / p i v o t c u s t o m i z a t i o n / 2 7 7 d 0 6 2 8 - 2 e b 6 - 4 c e 7 - 9 7 0 c - 8 2 0 1 5 6 7 e f f 2 f " > < 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  % < / M e a s u r e N a m e > < D i s p l a y N a m e > P r o f i t   M a r g i n   % < / 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i t e m > < M e a s u r e N a m e > A v e r a g e   C u s t o m e r   A g e < / M e a s u r e N a m e > < D i s p l a y N a m e > A v e r a g e   C u s t o m e r   A g e < / D i s p l a y N a m e > < V i s i b l e > F a l s e < / V i s i b l e > < / i t e m > < i t e m > < M e a s u r e N a m e > R e t u r n   R a t e < / M e a s u r e N a m e > < D i s p l a y N a m e > R e t u r n   R a t e < / D i s p l a y N a m e > < V i s i b l e > T r u e < / V i s i b l e > < / i t e m > < / C a l c u l a t e d F i e l d s > < S A H o s t H a s h > 0 < / S A H o s t H a s h > < G e m i n i F i e l d L i s t V i s i b l e > T r u e < / G e m i n i F i e l d L i s t V i s i b l e > < / S e t t i n g s > ] ] > < / C u s t o m C o n t e n t > < / G e m i n i > 
</file>

<file path=customXml/item25.xml>��< ? x m l   v e r s i o n = " 1 . 0 "   e n c o d i n g = " U T F - 1 6 " ? > < G e m i n i   x m l n s = " h t t p : / / g e m i n i / p i v o t c u s t o m i z a t i o n / T a b l e O r d e r " > < C u s t o m C o n t e n t > c u s t o m e r s _ t a b l e _ 6 9 a 3 7 1 b 6 - 1 4 c 4 - 4 e e f - b d 1 5 - 4 8 4 7 6 3 4 a 2 2 d a , f a c t _ t a b l e _ 4 7 b 3 3 f c 7 - 9 f 7 5 - 4 7 d 2 - 8 4 4 a - 1 9 8 3 6 4 9 2 f f 0 1 , m o n t h l y _ s t o r e _ t a r g e t s _ 8 7 5 1 1 e b d - 9 4 7 5 - 4 4 5 0 - 8 e e 4 - 3 6 2 4 2 c e 0 1 5 8 f , p r o d u c t s _ t a b l e _ e 6 8 e a 6 0 3 - f 7 5 e - 4 4 f 6 - b 7 7 f - f 1 b 2 3 5 0 e b 0 1 3 , s a l e s _ p e r s o n s _ t a b l e _ 9 9 1 2 f 8 a 7 - 8 f 9 e - 4 d a 1 - 9 e 7 c - f 5 f a 7 2 b e 4 4 5 7 , D a t e _ 8 6 4 d 3 6 d c - 4 3 c 7 - 4 1 b d - 9 3 f 0 - 1 c 9 5 8 0 8 c a e e 9 , C a l c u l a t i o n s _ 0 9 5 a c 9 5 8 - 8 0 6 7 - 4 5 8 d - 8 d a f - 5 a 1 0 7 3 8 d 9 4 8 5 < / C u s t o m C o n t e n t > < / G e m i n i > 
</file>

<file path=customXml/item26.xml>��< ? x m l   v e r s i o n = " 1 . 0 "   e n c o d i n g = " U T F - 1 6 " ? > < G e m i n i   x m l n s = " h t t p : / / g e m i n i / p i v o t c u s t o m i z a t i o n / I s S a n d b o x E m b e d d e d " > < C u s t o m C o n t e n t > < ! [ C D A T A [ y e s ] ] > < / C u s t o m C o n t e n t > < / G e m i n i > 
</file>

<file path=customXml/item27.xml>��< ? x m l   v e r s i o n = " 1 . 0 "   e n c o d i n g = " U T F - 1 6 " ? > < G e m i n i   x m l n s = " h t t p : / / g e m i n i / p i v o t c u s t o m i z a t i o n / T a b l e C o u n t I n S a n d b o x " > < C u s t o m C o n t e n t > 7 < / C u s t o m C o n t e n t > < / G e m i n i > 
</file>

<file path=customXml/item28.xml>��< ? x m l   v e r s i o n = " 1 . 0 "   e n c o d i n g = " U T F - 1 6 " ? > < G e m i n i   x m l n s = " h t t p : / / g e m i n i / p i v o t c u s t o m i z a t i o n / L i n k e d T a b l e U p d a t e M o d e " > < C u s t o m C o n t e n t > < ! [ C D A T A [ T r u e ] ] > < / C u s t o m C o n t e n t > < / G e m i n i > 
</file>

<file path=customXml/item29.xml>��< ? x m l   v e r s i o n = " 1 . 0 "   e n c o d i n g = " U T F - 1 6 " ? > < G e m i n i   x m l n s = " h t t p : / / g e m i n i / p i v o t c u s t o m i z a t i o n / 6 e 4 4 9 7 d 4 - 5 7 c 9 - 4 e 6 2 - a b 4 8 - 5 8 b 8 4 1 8 1 7 e d 8 " > < 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  % < / M e a s u r e N a m e > < D i s p l a y N a m e > P r o f i t   M a r g i n   % < / 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i t e m > < M e a s u r e N a m e > A v e r a g e   C u s t o m e r   A g e < / M e a s u r e N a m e > < D i s p l a y N a m e > A v e r a g e   C u s t o m e r   A g e < / D i s p l a y N a m e > < V i s i b l e > F a l s e < / V i s i b l e > < / i t e m > < i t e m > < M e a s u r e N a m e > R e t u r n   R a t e < / M e a s u r e N a m e > < D i s p l a y N a m e > R e t u r n   R a t e < / D i s p l a y N a m e > < V i s i b l e > F a l s e < / V i s i b l e > < / i t e m > < / C a l c u l a t e d F i e l d s > < S A H o s t H a s h > 0 < / S A H o s t H a s h > < G e m i n i F i e l d L i s t V i s i b l e > T r u e < / G e m i n i F i e l d L i s t V i s i b l e > < / S e t t i n g s > ] ] > < / 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 2 0 2 4 - 0 5 - 1 0 T 1 5 : 0 6 : 0 6 . 8 6 7 9 4 5 3 + 0 5 : 3 0 < / L a s t P r o c e s s e d T i m e > < / D a t a M o d e l i n g S a n d b o x . S e r i a l i z e d S a n d b o x E r r o r C a c h e > ] ] > < / C u s t o m C o n t e n t > < / G e m i n i > 
</file>

<file path=customXml/item30.xml>��< ? x m l   v e r s i o n = " 1 . 0 "   e n c o d i n g = " U T F - 1 6 " ? > < G e m i n i   x m l n s = " h t t p : / / g e m i n i / p i v o t c u s t o m i z a t i o n / T a b l e X M L _ C a l c u l a t i o n s _ 0 9 5 a c 9 5 8 - 8 0 6 7 - 4 5 8 d - 8 d a f - 5 a 1 0 7 3 8 d 9 4 8 5 " > < C u s t o m C o n t e n t > < ! [ C D A T A [ < T a b l e W i d g e t G r i d S e r i a l i z a t i o n   x m l n s : x s d = " h t t p : / / w w w . w 3 . o r g / 2 0 0 1 / X M L S c h e m a "   x m l n s : x s i = " h t t p : / / w w w . w 3 . o r g / 2 0 0 1 / X M L S c h e m a - i n s t a n c e " > < C o l u m n S u g g e s t e d T y p e   / > < C o l u m n F o r m a t   / > < C o l u m n A c c u r a c y   / > < C o l u m n C u r r e n c y S y m b o l   / > < C o l u m n P o s i t i v e P a t t e r n   / > < C o l u m n N e g a t i v e P a t t e r n   / > < C o l u m n W i d t h s > < i t e m > < k e y > < s t r i n g > M e a s u r e s < / s t r i n g > < / k e y > < v a l u e > < i n t > 9 6 < / i n t > < / v a l u e > < / i t e m > < / C o l u m n W i d t h s > < C o l u m n D i s p l a y I n d e x > < i t e m > < k e y > < s t r i n g > M e a s u r e s < / s t r i n g > < / k e y > < v a l u e > < i n t > 0 < / 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 T a g s \ T a b l e s \ & a m p ; l t ; T a b l e s \ C a l c u l a t i o n s & a m p ; g t ; & l t ; / K e y & g t ; & l t ; / D i a g r a m O b j e c t K e y & g t ; & l t ; D i a g r a m O b j e c t K e y & g t ; & l t ; K e y & g t ; D y n a m i c   T a g s \ T a b l e s \ & a m p ; l t ; T a b l e s \ c u s t o m e r s _ t a b l e & a m p ; g t ; & l t ; / K e y & g t ; & l t ; / D i a g r a m O b j e c t K e y & g t ; & l t ; D i a g r a m O b j e c t K e y & g t ; & l t ; K e y & g t ; D y n a m i c   T a g s \ T a b l e s \ & a m p ; l t ; T a b l e s \ f a c t _ t a b l e & a m p ; g t ; & l t ; / K e y & g t ; & l t ; / D i a g r a m O b j e c t K e y & g t ; & l t ; D i a g r a m O b j e c t K e y & g t ; & l t ; K e y & g t ; D y n a m i c   T a g s \ T a b l e s \ & a m p ; l t ; T a b l e s \ m o n t h l y _ s t o r e _ t a r g e t s & a m p ; g t ; & l t ; / K e y & g t ; & l t ; / D i a g r a m O b j e c t K e y & g t ; & l t ; D i a g r a m O b j e c t K e y & g t ; & l t ; K e y & g t ; D y n a m i c   T a g s \ T a b l e s \ & a m p ; l t ; T a b l e s \ p r o d u c t s _ t a b l e & a m p ; g t ; & l t ; / K e y & g t ; & l t ; / D i a g r a m O b j e c t K e y & g t ; & l t ; D i a g r a m O b j e c t K e y & g t ; & l t ; K e y & g t ; D y n a m i c   T a g s \ T a b l e s \ & a m p ; l t ; T a b l e s \ s a l e s _ p e r s o n s _ t a b l e & a m p ; g t ; & l t ; / K e y & g t ; & l t ; / D i a g r a m O b j e c t K e y & g t ; & l t ; D i a g r a m O b j e c t K e y & g t ; & l t ; K e y & g t ; D y n a m i c   T a g s \ T a b l e s \ & a m p ; l t ; T a b l e s \ D a t e & a m p ; g t ; & l t ; / K e y & g t ; & l t ; / D i a g r a m O b j e c t K e y & g t ; & l t ; D i a g r a m O b j e c t K e y & g t ; & l t ; K e y & g t ; T a b l e s \ C a l c u l a t i o n s & l t ; / K e y & g t ; & l t ; / D i a g r a m O b j e c t K e y & g t ; & l t ; D i a g r a m O b j e c t K e y & g t ; & l t ; K e y & g t ; T a b l e s \ C a l c u l a t i o n s \ C o l u m n s \ M e a s u r e s & l t ; / K e y & g t ; & l t ; / D i a g r a m O b j e c t K e y & g t ; & l t ; D i a g r a m O b j e c t K e y & g t ; & l t ; K e y & g t ; T a b l e s \ c u s t o m e r s _ t a b l e & l t ; / K e y & g t ; & l t ; / D i a g r a m O b j e c t K e y & g t ; & l t ; D i a g r a m O b j e c t K e y & g t ; & l t ; K e y & g t ; T a b l e s \ c u s t o m e r s _ t a b l e \ C o l u m n s \ C u s t o m e r   I D & l t ; / K e y & g t ; & l t ; / D i a g r a m O b j e c t K e y & g t ; & l t ; D i a g r a m O b j e c t K e y & g t ; & l t ; K e y & g t ; T a b l e s \ c u s t o m e r s _ t a b l e \ C o l u m n s \ F u l l   N a m e & l t ; / K e y & g t ; & l t ; / D i a g r a m O b j e c t K e y & g t ; & l t ; D i a g r a m O b j e c t K e y & g t ; & l t ; K e y & g t ; T a b l e s \ c u s t o m e r s _ t a b l e \ C o l u m n s \ G e n d e r & l t ; / K e y & g t ; & l t ; / D i a g r a m O b j e c t K e y & g t ; & l t ; D i a g r a m O b j e c t K e y & g t ; & l t ; K e y & g t ; T a b l e s \ c u s t o m e r s _ t a b l e \ C o l u m n s \ L o c a t i o n & l t ; / K e y & g t ; & l t ; / D i a g r a m O b j e c t K e y & g t ; & l t ; D i a g r a m O b j e c t K e y & g t ; & l t ; K e y & g t ; T a b l e s \ c u s t o m e r s _ t a b l e \ C o l u m n s \ C u s t o m e r   A g e & l t ; / K e y & g t ; & l t ; / D i a g r a m O b j e c t K e y & g t ; & l t ; D i a g r a m O b j e c t K e y & g t ; & l t ; K e y & g t ; T a b l e s \ c u s t o m e r s _ t a b l e \ C o l u m n s \ D a t e   o f   B i r t h & l t ; / K e y & g t ; & l t ; / D i a g r a m O b j e c t K e y & g t ; & l t ; D i a g r a m O b j e c t K e y & g t ; & l t ; K e y & g t ; T a b l e s \ c u s t o m e r s _ t a b l e \ C o l u m n s \ A g e & l t ; / K e y & g t ; & l t ; / D i a g r a m O b j e c t K e y & g t ; & l t ; D i a g r a m O b j e c t K e y & g t ; & l t ; K e y & g t ; T a b l e s \ f a c t _ t a b l e & l t ; / K e y & g t ; & l t ; / D i a g r a m O b j e c t K e y & g t ; & l t ; D i a g r a m O b j e c t K e y & g t ; & l t ; K e y & g t ; T a b l e s \ f a c t _ t a b l e \ C o l u m n s \ P r o d u c t   I D & l t ; / K e y & g t ; & l t ; / D i a g r a m O b j e c t K e y & g t ; & l t ; D i a g r a m O b j e c t K e y & g t ; & l t ; K e y & g t ; T a b l e s \ f a c t _ t a b l e \ C o l u m n s \ C u s t o m e r   I D & l t ; / K e y & g t ; & l t ; / D i a g r a m O b j e c t K e y & g t ; & l t ; D i a g r a m O b j e c t K e y & g t ; & l t ; K e y & g t ; T a b l e s \ f a c t _ t a b l e \ C o l u m n s \ S a l e s   P e r s o n   I D & l t ; / K e y & g t ; & l t ; / D i a g r a m O b j e c t K e y & g t ; & l t ; D i a g r a m O b j e c t K e y & g t ; & l t ; K e y & g t ; T a b l e s \ f a c t _ t a b l e \ C o l u m n s \ Q u a n t i t y   S o l d & l t ; / K e y & g t ; & l t ; / D i a g r a m O b j e c t K e y & g t ; & l t ; D i a g r a m O b j e c t K e y & g t ; & l t ; K e y & g t ; T a b l e s \ f a c t _ t a b l e \ C o l u m n s \ P a y m e n t   M e t h o d & l t ; / K e y & g t ; & l t ; / D i a g r a m O b j e c t K e y & g t ; & l t ; D i a g r a m O b j e c t K e y & g t ; & l t ; K e y & g t ; T a b l e s \ f a c t _ t a b l e \ C o l u m n s \ Q u a n t i t y   R e t u r n e d & l t ; / K e y & g t ; & l t ; / D i a g r a m O b j e c t K e y & g t ; & l t ; D i a g r a m O b j e c t K e y & g t ; & l t ; K e y & g t ; T a b l e s \ f a c t _ t a b l e \ C o l u m n s \ O r d e r   D a t e & l t ; / K e y & g t ; & l t ; / D i a g r a m O b j e c t K e y & g t ; & l t ; D i a g r a m O b j e c t K e y & g t ; & l t ; K e y & g t ; T a b l e s \ m o n t h l y _ s t o r e _ t a r g e t s & l t ; / K e y & g t ; & l t ; / D i a g r a m O b j e c t K e y & g t ; & l t ; D i a g r a m O b j e c t K e y & g t ; & l t ; K e y & g t ; T a b l e s \ m o n t h l y _ s t o r e _ t a r g e t s \ C o l u m n s \ S t o r e   I D & l t ; / K e y & g t ; & l t ; / D i a g r a m O b j e c t K e y & g t ; & l t ; D i a g r a m O b j e c t K e y & g t ; & l t ; K e y & g t ; T a b l e s \ m o n t h l y _ s t o r e _ t a r g e t s \ C o l u m n s \ D a t e & l t ; / K e y & g t ; & l t ; / D i a g r a m O b j e c t K e y & g t ; & l t ; D i a g r a m O b j e c t K e y & g t ; & l t ; K e y & g t ; T a b l e s \ m o n t h l y _ s t o r e _ t a r g e t s \ C o l u m n s \ M o n t h l y   T a r g e t & l t ; / K e y & g t ; & l t ; / D i a g r a m O b j e c t K e y & g t ; & l t ; D i a g r a m O b j e c t K e y & g t ; & l t ; K e y & g t ; T a b l e s \ p r o d u c t s _ t a b l e & l t ; / K e y & g t ; & l t ; / D i a g r a m O b j e c t K e y & g t ; & l t ; D i a g r a m O b j e c t K e y & g t ; & l t ; K e y & g t ; T a b l e s \ p r o d u c t s _ t a b l e \ C o l u m n s \ P r o d u c t   I D & l t ; / K e y & g t ; & l t ; / D i a g r a m O b j e c t K e y & g t ; & l t ; D i a g r a m O b j e c t K e y & g t ; & l t ; K e y & g t ; T a b l e s \ p r o d u c t s _ t a b l e \ C o l u m n s \ P r o d u c t   N a m e & l t ; / K e y & g t ; & l t ; / D i a g r a m O b j e c t K e y & g t ; & l t ; D i a g r a m O b j e c t K e y & g t ; & l t ; K e y & g t ; T a b l e s \ p r o d u c t s _ t a b l e \ C o l u m n s \ C a t e g o r y & l t ; / K e y & g t ; & l t ; / D i a g r a m O b j e c t K e y & g t ; & l t ; D i a g r a m O b j e c t K e y & g t ; & l t ; K e y & g t ; T a b l e s \ p r o d u c t s _ t a b l e \ C o l u m n s \ S a l e s   P r i c e & l t ; / K e y & g t ; & l t ; / D i a g r a m O b j e c t K e y & g t ; & l t ; D i a g r a m O b j e c t K e y & g t ; & l t ; K e y & g t ; T a b l e s \ p r o d u c t s _ t a b l e \ C o l u m n s \ C o s t   P r i c e & l t ; / K e y & g t ; & l t ; / D i a g r a m O b j e c t K e y & g t ; & l t ; D i a g r a m O b j e c t K e y & g t ; & l t ; K e y & g t ; T a b l e s \ s a l e s _ p e r s o n s _ t a b l e & l t ; / K e y & g t ; & l t ; / D i a g r a m O b j e c t K e y & g t ; & l t ; D i a g r a m O b j e c t K e y & g t ; & l t ; K e y & g t ; T a b l e s \ s a l e s _ p e r s o n s _ t a b l e \ C o l u m n s \ S a l e s   P e r s o n   I D & l t ; / K e y & g t ; & l t ; / D i a g r a m O b j e c t K e y & g t ; & l t ; D i a g r a m O b j e c t K e y & g t ; & l t ; K e y & g t ; T a b l e s \ s a l e s _ p e r s o n s _ t a b l e \ C o l u m n s \ F u l l   N a m e & l t ; / K e y & g t ; & l t ; / D i a g r a m O b j e c t K e y & g t ; & l t ; D i a g r a m O b j e c t K e y & g t ; & l t ; K e y & g t ; T a b l e s \ s a l e s _ p e r s o n s _ t a b l e \ C o l u m n s \ S t o r e   N a m e & l t ; / K e y & g t ; & l t ; / D i a g r a m O b j e c t K e y & g t ; & l t ; D i a g r a m O b j e c t K e y & g t ; & l t ; K e y & g t ; T a b l e s \ s a l e s _ p e r s o n s _ t a b l e \ C o l u m n s \ S a l e s   P e r s o n   A g e & l t ; / K e y & g t ; & l t ; / D i a g r a m O b j e c t K e y & g t ; & l t ; D i a g r a m O b j e c t K e y & g t ; & l t ; K e y & g t ; T a b l e s \ D a t e & l t ; / K e y & g t ; & l t ; / D i a g r a m O b j e c t K e y & g t ; & l t ; D i a g r a m O b j e c t K e y & g t ; & l t ; K e y & g t ; T a b l e s \ D a t e \ C o l u m n s \ O r d e r   D a t e & l t ; / K e y & g t ; & l t ; / D i a g r a m O b j e c t K e y & g t ; & l t ; D i a g r a m O b j e c t K e y & g t ; & l t ; K e y & g t ; T a b l e s \ D a t e \ C o l u m n s \ Y e a r & l t ; / K e y & g t ; & l t ; / D i a g r a m O b j e c t K e y & g t ; & l t ; D i a g r a m O b j e c t K e y & g t ; & l t ; K e y & g t ; T a b l e s \ D a t e \ C o l u m n s \ M o n t h & l t ; / K e y & g t ; & l t ; / D i a g r a m O b j e c t K e y & g t ; & l t ; D i a g r a m O b j e c t K e y & g t ; & l t ; K e y & g t ; T a b l e s \ D a t e \ C o l u m n s \ M o n t h   N o . & l t ; / K e y & g t ; & l t ; / D i a g r a m O b j e c t K e y & g t ; & l t ; D i a g r a m O b j e c t K e y & g t ; & l t ; K e y & g t ; T a b l e s \ D a t e \ C o l u m n s \ D a y   N a m e & l t ; / K e y & g t ; & l t ; / D i a g r a m O b j e c t K e y & g t ; & l t ; D i a g r a m O b j e c t K e y & g t ; & l t ; K e y & g t ; T a b l e s \ D a t e \ C o l u m n s \ W e e k   N o & l t ; / K e y & g t ; & l t ; / D i a g r a m O b j e c t K e y & g t ; & l t ; D i a g r a m O b j e c t K e y & g t ; & l t ; K e y & g t ; T a b l e s \ D a t e \ C o l u m n s \ W e e k T y p e & l t ; / K e y & g t ; & l t ; / D i a g r a m O b j e c t K e y & g t ; & l t ; D i a g r a m O b j e c t K e y & g t ; & l t ; K e y & g t ; T a b l e s \ D a t e \ C o l u m n s \ Q u a r t e r & l t ; / K e y & g t ; & l t ; / D i a g r a m O b j e c t K e y & g t ; & l t ; D i a g r a m O b j e c t K e y & g t ; & l t ; K e y & g t ; R e l a t i o n s h i p s \ & a m p ; l t ; T a b l e s \ f a c t _ t a b l e \ C o l u m n s \ C u s t o m e r   I D & a m p ; g t ; - & a m p ; l t ; T a b l e s \ c u s t o m e r s _ t a b l e \ C o l u m n s \ C u s t o m e r   I D & a m p ; g t ; & l t ; / K e y & g t ; & l t ; / D i a g r a m O b j e c t K e y & g t ; & l t ; D i a g r a m O b j e c t K e y & g t ; & l t ; K e y & g t ; R e l a t i o n s h i p s \ & a m p ; l t ; T a b l e s \ f a c t _ t a b l e \ C o l u m n s \ C u s t o m e r   I D & a m p ; g t ; - & a m p ; l t ; T a b l e s \ c u s t o m e r s _ t a b l e \ C o l u m n s \ C u s t o m e r   I D & a m p ; g t ; \ F K & l t ; / K e y & g t ; & l t ; / D i a g r a m O b j e c t K e y & g t ; & l t ; D i a g r a m O b j e c t K e y & g t ; & l t ; K e y & g t ; R e l a t i o n s h i p s \ & a m p ; l t ; T a b l e s \ f a c t _ t a b l e \ C o l u m n s \ C u s t o m e r   I D & a m p ; g t ; - & a m p ; l t ; T a b l e s \ c u s t o m e r s _ t a b l e \ C o l u m n s \ C u s t o m e r   I D & a m p ; g t ; \ P K & l t ; / K e y & g t ; & l t ; / D i a g r a m O b j e c t K e y & g t ; & l t ; D i a g r a m O b j e c t K e y & g t ; & l t ; K e y & g t ; R e l a t i o n s h i p s \ & a m p ; l t ; T a b l e s \ f a c t _ t a b l e \ C o l u m n s \ C u s t o m e r   I D & a m p ; g t ; - & a m p ; l t ; T a b l e s \ c u s t o m e r s _ t a b l e \ C o l u m n s \ C u s t o m e r   I D & a m p ; g t ; \ C r o s s F i l t e r & l t ; / K e y & g t ; & l t ; / D i a g r a m O b j e c t K e y & g t ; & l t ; D i a g r a m O b j e c t K e y & g t ; & l t ; K e y & g t ; R e l a t i o n s h i p s \ & a m p ; l t ; T a b l e s \ f a c t _ t a b l e \ C o l u m n s \ P r o d u c t   I D & a m p ; g t ; - & a m p ; l t ; T a b l e s \ p r o d u c t s _ t a b l e \ C o l u m n s \ P r o d u c t   I D & a m p ; g t ; & l t ; / K e y & g t ; & l t ; / D i a g r a m O b j e c t K e y & g t ; & l t ; D i a g r a m O b j e c t K e y & g t ; & l t ; K e y & g t ; R e l a t i o n s h i p s \ & a m p ; l t ; T a b l e s \ f a c t _ t a b l e \ C o l u m n s \ P r o d u c t   I D & a m p ; g t ; - & a m p ; l t ; T a b l e s \ p r o d u c t s _ t a b l e \ C o l u m n s \ P r o d u c t   I D & a m p ; g t ; \ F K & l t ; / K e y & g t ; & l t ; / D i a g r a m O b j e c t K e y & g t ; & l t ; D i a g r a m O b j e c t K e y & g t ; & l t ; K e y & g t ; R e l a t i o n s h i p s \ & a m p ; l t ; T a b l e s \ f a c t _ t a b l e \ C o l u m n s \ P r o d u c t   I D & a m p ; g t ; - & a m p ; l t ; T a b l e s \ p r o d u c t s _ t a b l e \ C o l u m n s \ P r o d u c t   I D & a m p ; g t ; \ P K & l t ; / K e y & g t ; & l t ; / D i a g r a m O b j e c t K e y & g t ; & l t ; D i a g r a m O b j e c t K e y & g t ; & l t ; K e y & g t ; R e l a t i o n s h i p s \ & a m p ; l t ; T a b l e s \ f a c t _ t a b l e \ C o l u m n s \ P r o d u c t   I D & a m p ; g t ; - & a m p ; l t ; T a b l e s \ p r o d u c t s _ t a b l e \ C o l u m n s \ P r o d u c t   I D & a m p ; g t ; \ C r o s s F i l t e r & l t ; / K e y & g t ; & l t ; / D i a g r a m O b j e c t K e y & g t ; & l t ; D i a g r a m O b j e c t K e y & g t ; & l t ; K e y & g t ; R e l a t i o n s h i p s \ & a m p ; l t ; T a b l e s \ f a c t _ t a b l e \ C o l u m n s \ S a l e s   P e r s o n   I D & a m p ; g t ; - & a m p ; l t ; T a b l e s \ s a l e s _ p e r s o n s _ t a b l e \ C o l u m n s \ S a l e s   P e r s o n   I D & a m p ; g t ; & l t ; / K e y & g t ; & l t ; / D i a g r a m O b j e c t K e y & g t ; & l t ; D i a g r a m O b j e c t K e y & g t ; & l t ; K e y & g t ; R e l a t i o n s h i p s \ & a m p ; l t ; T a b l e s \ f a c t _ t a b l e \ C o l u m n s \ S a l e s   P e r s o n   I D & a m p ; g t ; - & a m p ; l t ; T a b l e s \ s a l e s _ p e r s o n s _ t a b l e \ C o l u m n s \ S a l e s   P e r s o n   I D & a m p ; g t ; \ F K & l t ; / K e y & g t ; & l t ; / D i a g r a m O b j e c t K e y & g t ; & l t ; D i a g r a m O b j e c t K e y & g t ; & l t ; K e y & g t ; R e l a t i o n s h i p s \ & a m p ; l t ; T a b l e s \ f a c t _ t a b l e \ C o l u m n s \ S a l e s   P e r s o n   I D & a m p ; g t ; - & a m p ; l t ; T a b l e s \ s a l e s _ p e r s o n s _ t a b l e \ C o l u m n s \ S a l e s   P e r s o n   I D & a m p ; g t ; \ P K & l t ; / K e y & g t ; & l t ; / D i a g r a m O b j e c t K e y & g t ; & l t ; D i a g r a m O b j e c t K e y & g t ; & l t ; K e y & g t ; R e l a t i o n s h i p s \ & a m p ; l t ; T a b l e s \ f a c t _ t a b l e \ C o l u m n s \ S a l e s   P e r s o n   I D & a m p ; g t ; - & a m p ; l t ; T a b l e s \ s a l e s _ p e r s o n s _ t a b l e \ C o l u m n s \ S a l e s   P e r s o n   I D & a m p ; g t ; \ C r o s s F i l t e r & l t ; / K e y & g t ; & l t ; / D i a g r a m O b j e c t K e y & g t ; & l t ; D i a g r a m O b j e c t K e y & g t ; & l t ; K e y & g t ; R e l a t i o n s h i p s \ & a m p ; l t ; T a b l e s \ f a c t _ t a b l e \ C o l u m n s \ O r d e r   D a t e & a m p ; g t ; - & a m p ; l t ; T a b l e s \ D a t e \ C o l u m n s \ O r d e r   D a t e & a m p ; g t ; & l t ; / K e y & g t ; & l t ; / D i a g r a m O b j e c t K e y & g t ; & l t ; D i a g r a m O b j e c t K e y & g t ; & l t ; K e y & g t ; R e l a t i o n s h i p s \ & a m p ; l t ; T a b l e s \ f a c t _ t a b l e \ C o l u m n s \ O r d e r   D a t e & a m p ; g t ; - & a m p ; l t ; T a b l e s \ D a t e \ C o l u m n s \ O r d e r   D a t e & a m p ; g t ; \ F K & l t ; / K e y & g t ; & l t ; / D i a g r a m O b j e c t K e y & g t ; & l t ; D i a g r a m O b j e c t K e y & g t ; & l t ; K e y & g t ; R e l a t i o n s h i p s \ & a m p ; l t ; T a b l e s \ f a c t _ t a b l e \ C o l u m n s \ O r d e r   D a t e & a m p ; g t ; - & a m p ; l t ; T a b l e s \ D a t e \ C o l u m n s \ O r d e r   D a t e & a m p ; g t ; \ P K & l t ; / K e y & g t ; & l t ; / D i a g r a m O b j e c t K e y & g t ; & l t ; D i a g r a m O b j e c t K e y & g t ; & l t ; K e y & g t ; R e l a t i o n s h i p s \ & a m p ; l t ; T a b l e s \ f a c t _ t a b l e \ C o l u m n s \ O r d e r   D a t e & a m p ; g t ; - & a m p ; l t ; T a b l e s \ D a t e \ C o l u m n s \ O r d e r   D a t e & a m p ; g t ; \ C r o s s F i l t e r & l t ; / K e y & g t ; & l t ; / D i a g r a m O b j e c t K e y & g t ; & l t ; D i a g r a m O b j e c t K e y & g t ; & l t ; K e y & g t ; R e l a t i o n s h i p s \ & a m p ; l t ; T a b l e s \ m o n t h l y _ s t o r e _ t a r g e t s \ C o l u m n s \ D a t e & a m p ; g t ; - & a m p ; l t ; T a b l e s \ D a t e \ C o l u m n s \ O r d e r   D a t e & a m p ; g t ; & l t ; / K e y & g t ; & l t ; / D i a g r a m O b j e c t K e y & g t ; & l t ; D i a g r a m O b j e c t K e y & g t ; & l t ; K e y & g t ; R e l a t i o n s h i p s \ & a m p ; l t ; T a b l e s \ m o n t h l y _ s t o r e _ t a r g e t s \ C o l u m n s \ D a t e & a m p ; g t ; - & a m p ; l t ; T a b l e s \ D a t e \ C o l u m n s \ O r d e r   D a t e & a m p ; g t ; \ F K & l t ; / K e y & g t ; & l t ; / D i a g r a m O b j e c t K e y & g t ; & l t ; D i a g r a m O b j e c t K e y & g t ; & l t ; K e y & g t ; R e l a t i o n s h i p s \ & a m p ; l t ; T a b l e s \ m o n t h l y _ s t o r e _ t a r g e t s \ C o l u m n s \ D a t e & a m p ; g t ; - & a m p ; l t ; T a b l e s \ D a t e \ C o l u m n s \ O r d e r   D a t e & a m p ; g t ; \ P K & l t ; / K e y & g t ; & l t ; / D i a g r a m O b j e c t K e y & g t ; & l t ; D i a g r a m O b j e c t K e y & g t ; & l t ; K e y & g t ; R e l a t i o n s h i p s \ & a m p ; l t ; T a b l e s \ m o n t h l y _ s t o r e _ t a r g e t s \ C o l u m n s \ D a t e & a m p ; g t ; - & a m p ; l t ; T a b l e s \ D a t e \ C o l u m n s \ O r d e r   D a t e & a m p ; g t ; \ C r o s s F i l t e r & l t ; / K e y & g t ; & l t ; / D i a g r a m O b j e c t K e y & g t ; & l t ; D i a g r a m O b j e c t K e y & g t ; & l t ; K e y & g t ; R e l a t i o n s h i p s \ & a m p ; l t ; T a b l e s \ m o n t h l y _ s t o r e _ t a r g e t s \ C o l u m n s \ S t o r e   I D & a m p ; g t ; - & a m p ; l t ; T a b l e s \ s a l e s _ p e r s o n s _ t a b l e \ C o l u m n s \ S a l e s   P e r s o n   I D & a m p ; g t ; & l t ; / K e y & g t ; & l t ; / D i a g r a m O b j e c t K e y & g t ; & l t ; D i a g r a m O b j e c t K e y & g t ; & l t ; K e y & g t ; R e l a t i o n s h i p s \ & a m p ; l t ; T a b l e s \ m o n t h l y _ s t o r e _ t a r g e t s \ C o l u m n s \ S t o r e   I D & a m p ; g t ; - & a m p ; l t ; T a b l e s \ s a l e s _ p e r s o n s _ t a b l e \ C o l u m n s \ S a l e s   P e r s o n   I D & a m p ; g t ; \ F K & l t ; / K e y & g t ; & l t ; / D i a g r a m O b j e c t K e y & g t ; & l t ; D i a g r a m O b j e c t K e y & g t ; & l t ; K e y & g t ; R e l a t i o n s h i p s \ & a m p ; l t ; T a b l e s \ m o n t h l y _ s t o r e _ t a r g e t s \ C o l u m n s \ S t o r e   I D & a m p ; g t ; - & a m p ; l t ; T a b l e s \ s a l e s _ p e r s o n s _ t a b l e \ C o l u m n s \ S a l e s   P e r s o n   I D & a m p ; g t ; \ P K & l t ; / K e y & g t ; & l t ; / D i a g r a m O b j e c t K e y & g t ; & l t ; D i a g r a m O b j e c t K e y & g t ; & l t ; K e y & g t ; R e l a t i o n s h i p s \ & a m p ; l t ; T a b l e s \ m o n t h l y _ s t o r e _ t a r g e t s \ C o l u m n s \ S t o r e   I D & a m p ; g t ; - & a m p ; l t ; T a b l e s \ s a l e s _ p e r s o n s _ t a b l e \ C o l u m n s \ S a l e s   P e r s o n   I D & a m p ; g t ; \ C r o s s F i l t e r & l t ; / K e y & g t ; & l t ; / D i a g r a m O b j e c t K e y & g t ; & l t ; / A l l K e y s & g t ; & l t ; S e l e c t e d K e y s & g t ; & l t ; D i a g r a m O b j e c t K e y & g t ; & l t ; K e y & g t ; R e l a t i o n s h i p s \ & a m p ; l t ; T a b l e s \ m o n t h l y _ s t o r e _ t a r g e t s \ C o l u m n s \ S t o r e   I D & a m p ; g t ; - & a m p ; l t ; T a b l e s \ s a l e s _ p e r s o n s _ t a b l e \ C o l u m n s \ S a l e s   P e r s o n   I D & 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 T a g s \ T a b l e s \ & a m p ; l t ; T a b l e s \ C a l c u l a t i o n s & a m p ; g t ; & l t ; / K e y & g t ; & l t ; / a : K e y & g t ; & l t ; a : V a l u e   i : t y p e = " D i a g r a m D i s p l a y T a g V i e w S t a t e " & g t ; & l t ; I s N o t F i l t e r e d O u t & g t ; t r u e & l t ; / I s N o t F i l t e r e d O u t & g t ; & l t ; / a : V a l u e & g t ; & l t ; / a : K e y V a l u e O f D i a g r a m O b j e c t K e y a n y T y p e z b w N T n L X & g t ; & l t ; a : K e y V a l u e O f D i a g r a m O b j e c t K e y a n y T y p e z b w N T n L X & g t ; & l t ; a : K e y & g t ; & l t ; K e y & g t ; D y n a m i c   T a g s \ T a b l e s \ & a m p ; l t ; T a b l e s \ c u s t o m e r s _ t a b l e & a m p ; g t ; & l t ; / K e y & g t ; & l t ; / a : K e y & g t ; & l t ; a : V a l u e   i : t y p e = " D i a g r a m D i s p l a y T a g V i e w S t a t e " & g t ; & l t ; I s N o t F i l t e r e d O u t & g t ; t r u e & l t ; / I s N o t F i l t e r e d O u t & g t ; & l t ; / a : V a l u e & g t ; & l t ; / a : K e y V a l u e O f D i a g r a m O b j e c t K e y a n y T y p e z b w N T n L X & g t ; & l t ; a : K e y V a l u e O f D i a g r a m O b j e c t K e y a n y T y p e z b w N T n L X & g t ; & l t ; a : K e y & g t ; & l t ; K e y & g t ; D y n a m i c   T a g s \ T a b l e s \ & a m p ; l t ; T a b l e s \ f a c t _ t a b l e & a m p ; g t ; & l t ; / K e y & g t ; & l t ; / a : K e y & g t ; & l t ; a : V a l u e   i : t y p e = " D i a g r a m D i s p l a y T a g V i e w S t a t e " & g t ; & l t ; I s N o t F i l t e r e d O u t & g t ; t r u e & l t ; / I s N o t F i l t e r e d O u t & g t ; & l t ; / a : V a l u e & g t ; & l t ; / a : K e y V a l u e O f D i a g r a m O b j e c t K e y a n y T y p e z b w N T n L X & g t ; & l t ; a : K e y V a l u e O f D i a g r a m O b j e c t K e y a n y T y p e z b w N T n L X & g t ; & l t ; a : K e y & g t ; & l t ; K e y & g t ; D y n a m i c   T a g s \ T a b l e s \ & a m p ; l t ; T a b l e s \ m o n t h l y _ s t o r e _ t a r g e t s & a m p ; g t ; & l t ; / K e y & g t ; & l t ; / a : K e y & g t ; & l t ; a : V a l u e   i : t y p e = " D i a g r a m D i s p l a y T a g V i e w S t a t e " & g t ; & l t ; I s N o t F i l t e r e d O u t & g t ; t r u e & l t ; / I s N o t F i l t e r e d O u t & g t ; & l t ; / a : V a l u e & g t ; & l t ; / a : K e y V a l u e O f D i a g r a m O b j e c t K e y a n y T y p e z b w N T n L X & g t ; & l t ; a : K e y V a l u e O f D i a g r a m O b j e c t K e y a n y T y p e z b w N T n L X & g t ; & l t ; a : K e y & g t ; & l t ; K e y & g t ; D y n a m i c   T a g s \ T a b l e s \ & a m p ; l t ; T a b l e s \ p r o d u c t s _ t a b l e & a m p ; g t ; & l t ; / K e y & g t ; & l t ; / a : K e y & g t ; & l t ; a : V a l u e   i : t y p e = " D i a g r a m D i s p l a y T a g V i e w S t a t e " & g t ; & l t ; I s N o t F i l t e r e d O u t & g t ; t r u e & l t ; / I s N o t F i l t e r e d O u t & g t ; & l t ; / a : V a l u e & g t ; & l t ; / a : K e y V a l u e O f D i a g r a m O b j e c t K e y a n y T y p e z b w N T n L X & g t ; & l t ; a : K e y V a l u e O f D i a g r a m O b j e c t K e y a n y T y p e z b w N T n L X & g t ; & l t ; a : K e y & g t ; & l t ; K e y & g t ; D y n a m i c   T a g s \ T a b l e s \ & a m p ; l t ; T a b l e s \ s a l e s _ p e r s o n s _ t a b l e & a m p ; g t ; & l t ; / K e y & g t ; & l t ; / a : K e y & g t ; & l t ; a : V a l u e   i : t y p e = " D i a g r a m D i s p l a y T a g V i e w S t a t e " & g t ; & l t ; I s N o t F i l t e r e d O u t & g t ; t r u e & l t ; / I s N o t F i l t e r e d O u t & g t ; & l t ; / a : V a l u e & g t ; & l t ; / a : K e y V a l u e O f D i a g r a m O b j e c t K e y a n y T y p e z b w N T n L X & g t ; & l t ; a : K e y V a l u e O f D i a g r a m O b j e c t K e y a n y T y p e z b w N T n L X & g t ; & l t ; a : K e y & g t ; & l t ; K e y & g t ; D y n a m i c   T a g s \ T a b l e s \ & a m p ; l t ; T a b l e s \ D a t e & a m p ; g t ; & l t ; / K e y & g t ; & l t ; / a : K e y & g t ; & l t ; a : V a l u e   i : t y p e = " D i a g r a m D i s p l a y T a g V i e w S t a t e " & g t ; & l t ; I s N o t F i l t e r e d O u t & g t ; t r u e & l t ; / I s N o t F i l t e r e d O u t & g t ; & l t ; / a : V a l u e & g t ; & l t ; / a : K e y V a l u e O f D i a g r a m O b j e c t K e y a n y T y p e z b w N T n L X & g t ; & l t ; a : K e y V a l u e O f D i a g r a m O b j e c t K e y a n y T y p e z b w N T n L X & g t ; & l t ; a : K e y & g t ; & l t ; K e y & g t ; T a b l e s \ C a l c u l a t i o n s & l t ; / K e y & g t ; & l t ; / a : K e y & g t ; & l t ; a : V a l u e   i : t y p e = " D i a g r a m D i s p l a y N o d e V i e w S t a t e " & g t ; & l t ; H e i g h t & g t ; 1 5 0 & l t ; / H e i g h t & g t ; & l t ; I s E x p a n d e d & g t ; t r u e & l t ; / I s E x p a n d e d & g t ; & l t ; L a y e d O u t & g t ; t r u e & l t ; / L a y e d O u t & g t ; & l t ; L e f t & g t ; 8 9 2 . 8 0 7 6 2 1 1 3 5 3 3 1 6 & l t ; / L e f t & g t ; & l t ; T a b I n d e x & g t ; 4 & l t ; / T a b I n d e x & g t ; & l t ; T o p & g t ; 1 2 7 . 5 & l t ; / T o p & g t ; & l t ; W i d t h & g t ; 2 0 0 & l t ; / W i d t h & g t ; & l t ; / a : V a l u e & g t ; & l t ; / a : K e y V a l u e O f D i a g r a m O b j e c t K e y a n y T y p e z b w N T n L X & g t ; & l t ; a : K e y V a l u e O f D i a g r a m O b j e c t K e y a n y T y p e z b w N T n L X & g t ; & l t ; a : K e y & g t ; & l t ; K e y & g t ; T a b l e s \ C a l c u l a t i o n s \ C o l u m n s \ M e a s u r e s & l t ; / K e y & g t ; & l t ; / a : K e y & g t ; & l t ; a : V a l u e   i : t y p e = " D i a g r a m D i s p l a y N o d e V i e w S t a t e " & g t ; & l t ; H e i g h t & g t ; 1 5 0 & l t ; / H e i g h t & g t ; & l t ; I s E x p a n d e d & g t ; t r u e & l t ; / I s E x p a n d e d & g t ; & l t ; W i d t h & g t ; 2 0 0 & l t ; / W i d t h & g t ; & l t ; / a : V a l u e & g t ; & l t ; / a : K e y V a l u e O f D i a g r a m O b j e c t K e y a n y T y p e z b w N T n L X & g t ; & l t ; a : K e y V a l u e O f D i a g r a m O b j e c t K e y a n y T y p e z b w N T n L X & g t ; & l t ; a : K e y & g t ; & l t ; K e y & g t ; T a b l e s \ c u s t o m e r s _ t a b l e & 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c u s t o m e r s _ t a b l e \ C o l u m n s \ C u s t o m e r   I D & l t ; / K e y & g t ; & l t ; / a : K e y & g t ; & l t ; a : V a l u e   i : t y p e = " D i a g r a m D i s p l a y N o d e V i e w S t a t e " & g t ; & l t ; H e i g h t & g t ; 1 5 0 & l t ; / H e i g h t & g t ; & l t ; I s E x p a n d e d & g t ; t r u e & l t ; / I s E x p a n d e d & g t ; & l t ; W i d t h & g t ; 2 0 0 & l t ; / W i d t h & g t ; & l t ; / a : V a l u e & g t ; & l t ; / a : K e y V a l u e O f D i a g r a m O b j e c t K e y a n y T y p e z b w N T n L X & g t ; & l t ; a : K e y V a l u e O f D i a g r a m O b j e c t K e y a n y T y p e z b w N T n L X & g t ; & l t ; a : K e y & g t ; & l t ; K e y & g t ; T a b l e s \ c u s t o m e r s _ t a b l e \ C o l u m n s \ F u l l   N a m e & l t ; / K e y & g t ; & l t ; / a : K e y & g t ; & l t ; a : V a l u e   i : t y p e = " D i a g r a m D i s p l a y N o d e V i e w S t a t e " & g t ; & l t ; H e i g h t & g t ; 1 5 0 & l t ; / H e i g h t & g t ; & l t ; I s E x p a n d e d & g t ; t r u e & l t ; / I s E x p a n d e d & g t ; & l t ; W i d t h & g t ; 2 0 0 & l t ; / W i d t h & g t ; & l t ; / a : V a l u e & g t ; & l t ; / a : K e y V a l u e O f D i a g r a m O b j e c t K e y a n y T y p e z b w N T n L X & g t ; & l t ; a : K e y V a l u e O f D i a g r a m O b j e c t K e y a n y T y p e z b w N T n L X & g t ; & l t ; a : K e y & g t ; & l t ; K e y & g t ; T a b l e s \ c u s t o m e r s _ t a b l e \ C o l u m n s \ G e n d e r & l t ; / K e y & g t ; & l t ; / a : K e y & g t ; & l t ; a : V a l u e   i : t y p e = " D i a g r a m D i s p l a y N o d e V i e w S t a t e " & g t ; & l t ; H e i g h t & g t ; 1 5 0 & l t ; / H e i g h t & g t ; & l t ; I s E x p a n d e d & g t ; t r u e & l t ; / I s E x p a n d e d & g t ; & l t ; W i d t h & g t ; 2 0 0 & l t ; / W i d t h & g t ; & l t ; / a : V a l u e & g t ; & l t ; / a : K e y V a l u e O f D i a g r a m O b j e c t K e y a n y T y p e z b w N T n L X & g t ; & l t ; a : K e y V a l u e O f D i a g r a m O b j e c t K e y a n y T y p e z b w N T n L X & g t ; & l t ; a : K e y & g t ; & l t ; K e y & g t ; T a b l e s \ c u s t o m e r s _ t a b l e \ C o l u m n s \ L o c a t i o n & l t ; / K e y & g t ; & l t ; / a : K e y & g t ; & l t ; a : V a l u e   i : t y p e = " D i a g r a m D i s p l a y N o d e V i e w S t a t e " & g t ; & l t ; H e i g h t & g t ; 1 5 0 & l t ; / H e i g h t & g t ; & l t ; I s E x p a n d e d & g t ; t r u e & l t ; / I s E x p a n d e d & g t ; & l t ; W i d t h & g t ; 2 0 0 & l t ; / W i d t h & g t ; & l t ; / a : V a l u e & g t ; & l t ; / a : K e y V a l u e O f D i a g r a m O b j e c t K e y a n y T y p e z b w N T n L X & g t ; & l t ; a : K e y V a l u e O f D i a g r a m O b j e c t K e y a n y T y p e z b w N T n L X & g t ; & l t ; a : K e y & g t ; & l t ; K e y & g t ; T a b l e s \ c u s t o m e r s _ t a b l e \ C o l u m n s \ C u s t o m e r   A g e & l t ; / K e y & g t ; & l t ; / a : K e y & g t ; & l t ; a : V a l u e   i : t y p e = " D i a g r a m D i s p l a y N o d e V i e w S t a t e " & g t ; & l t ; H e i g h t & g t ; 1 5 0 & l t ; / H e i g h t & g t ; & l t ; I s E x p a n d e d & g t ; t r u e & l t ; / I s E x p a n d e d & g t ; & l t ; W i d t h & g t ; 2 0 0 & l t ; / W i d t h & g t ; & l t ; / a : V a l u e & g t ; & l t ; / a : K e y V a l u e O f D i a g r a m O b j e c t K e y a n y T y p e z b w N T n L X & g t ; & l t ; a : K e y V a l u e O f D i a g r a m O b j e c t K e y a n y T y p e z b w N T n L X & g t ; & l t ; a : K e y & g t ; & l t ; K e y & g t ; T a b l e s \ c u s t o m e r s _ t a b l e \ C o l u m n s \ D a t e   o f   B i r t h & l t ; / K e y & g t ; & l t ; / a : K e y & g t ; & l t ; a : V a l u e   i : t y p e = " D i a g r a m D i s p l a y N o d e V i e w S t a t e " & g t ; & l t ; H e i g h t & g t ; 1 5 0 & l t ; / H e i g h t & g t ; & l t ; I s E x p a n d e d & g t ; t r u e & l t ; / I s E x p a n d e d & g t ; & l t ; W i d t h & g t ; 2 0 0 & l t ; / W i d t h & g t ; & l t ; / a : V a l u e & g t ; & l t ; / a : K e y V a l u e O f D i a g r a m O b j e c t K e y a n y T y p e z b w N T n L X & g t ; & l t ; a : K e y V a l u e O f D i a g r a m O b j e c t K e y a n y T y p e z b w N T n L X & g t ; & l t ; a : K e y & g t ; & l t ; K e y & g t ; T a b l e s \ c u s t o m e r s _ t a b l e \ C o l u m n s \ A g e & l t ; / K e y & g t ; & l t ; / a : K e y & g t ; & l t ; a : V a l u e   i : t y p e = " D i a g r a m D i s p l a y N o d e V i e w S t a t e " & g t ; & l t ; H e i g h t & g t ; 1 5 0 & l t ; / H e i g h t & g t ; & l t ; I s E x p a n d e d & g t ; t r u e & l t ; / I s E x p a n d e d & g t ; & l t ; W i d t h & g t ; 2 0 0 & l t ; / W i d t h & g t ; & l t ; / a : V a l u e & g t ; & l t ; / a : K e y V a l u e O f D i a g r a m O b j e c t K e y a n y T y p e z b w N T n L X & g t ; & l t ; a : K e y V a l u e O f D i a g r a m O b j e c t K e y a n y T y p e z b w N T n L X & g t ; & l t ; a : K e y & g t ; & l t ; K e y & g t ; T a b l e s \ f a c t _ t a b l e & l t ; / K e y & g t ; & l t ; / a : K e y & g t ; & l t ; a : V a l u e   i : t y p e = " D i a g r a m D i s p l a y N o d e V i e w S t a t e " & g t ; & l t ; H e i g h t & g t ; 1 5 0 & l t ; / H e i g h t & g t ; & l t ; I s E x p a n d e d & g t ; t r u e & l t ; / I s E x p a n d e d & g t ; & l t ; L a y e d O u t & g t ; t r u e & l t ; / L a y e d O u t & g t ; & l t ; L e f t & g t ; 4 1 8 . 9 0 3 8 1 0 5 6 7 6 6 5 8 & l t ; / L e f t & g t ; & l t ; S c r o l l V e r t i c a l O f f s e t & g t ; 6 6 . 2 2 6 6 6 6 6 6 6 6 6 6 6 8 8 & l t ; / S c r o l l V e r t i c a l O f f s e t & g t ; & l t ; T a b I n d e x & g t ; 5 & l t ; / T a b I n d e x & g t ; & l t ; T o p & g t ; 2 5 4 & l t ; / T o p & g t ; & l t ; W i d t h & g t ; 2 0 0 & l t ; / W i d t h & g t ; & l t ; / a : V a l u e & g t ; & l t ; / a : K e y V a l u e O f D i a g r a m O b j e c t K e y a n y T y p e z b w N T n L X & g t ; & l t ; a : K e y V a l u e O f D i a g r a m O b j e c t K e y a n y T y p e z b w N T n L X & g t ; & l t ; a : K e y & g t ; & l t ; K e y & g t ; T a b l e s \ f a c t _ t a b l e \ C o l u m n s \ P r o d u c t   I D & l t ; / K e y & g t ; & l t ; / a : K e y & g t ; & l t ; a : V a l u e   i : t y p e = " D i a g r a m D i s p l a y N o d e V i e w S t a t e " & g t ; & l t ; H e i g h t & g t ; 1 5 0 & l t ; / H e i g h t & g t ; & l t ; I s E x p a n d e d & g t ; t r u e & l t ; / I s E x p a n d e d & g t ; & l t ; W i d t h & g t ; 2 0 0 & l t ; / W i d t h & g t ; & l t ; / a : V a l u e & g t ; & l t ; / a : K e y V a l u e O f D i a g r a m O b j e c t K e y a n y T y p e z b w N T n L X & g t ; & l t ; a : K e y V a l u e O f D i a g r a m O b j e c t K e y a n y T y p e z b w N T n L X & g t ; & l t ; a : K e y & g t ; & l t ; K e y & g t ; T a b l e s \ f a c t _ t a b l e \ C o l u m n s \ C u s t o m e r   I D & l t ; / K e y & g t ; & l t ; / a : K e y & g t ; & l t ; a : V a l u e   i : t y p e = " D i a g r a m D i s p l a y N o d e V i e w S t a t e " & g t ; & l t ; H e i g h t & g t ; 1 5 0 & l t ; / H e i g h t & g t ; & l t ; I s E x p a n d e d & g t ; t r u e & l t ; / I s E x p a n d e d & g t ; & l t ; W i d t h & g t ; 2 0 0 & l t ; / W i d t h & g t ; & l t ; / a : V a l u e & g t ; & l t ; / a : K e y V a l u e O f D i a g r a m O b j e c t K e y a n y T y p e z b w N T n L X & g t ; & l t ; a : K e y V a l u e O f D i a g r a m O b j e c t K e y a n y T y p e z b w N T n L X & g t ; & l t ; a : K e y & g t ; & l t ; K e y & g t ; T a b l e s \ f a c t _ t a b l e \ C o l u m n s \ S a l e s   P e r s o n   I D & l t ; / K e y & g t ; & l t ; / a : K e y & g t ; & l t ; a : V a l u e   i : t y p e = " D i a g r a m D i s p l a y N o d e V i e w S t a t e " & g t ; & l t ; H e i g h t & g t ; 1 5 0 & l t ; / H e i g h t & g t ; & l t ; I s E x p a n d e d & g t ; t r u e & l t ; / I s E x p a n d e d & g t ; & l t ; W i d t h & g t ; 2 0 0 & l t ; / W i d t h & g t ; & l t ; / a : V a l u e & g t ; & l t ; / a : K e y V a l u e O f D i a g r a m O b j e c t K e y a n y T y p e z b w N T n L X & g t ; & l t ; a : K e y V a l u e O f D i a g r a m O b j e c t K e y a n y T y p e z b w N T n L X & g t ; & l t ; a : K e y & g t ; & l t ; K e y & g t ; T a b l e s \ f a c t _ t a b l e \ C o l u m n s \ Q u a n t i t y   S o l d & l t ; / K e y & g t ; & l t ; / a : K e y & g t ; & l t ; a : V a l u e   i : t y p e = " D i a g r a m D i s p l a y N o d e V i e w S t a t e " & g t ; & l t ; H e i g h t & g t ; 1 5 0 & l t ; / H e i g h t & g t ; & l t ; I s E x p a n d e d & g t ; t r u e & l t ; / I s E x p a n d e d & g t ; & l t ; W i d t h & g t ; 2 0 0 & l t ; / W i d t h & g t ; & l t ; / a : V a l u e & g t ; & l t ; / a : K e y V a l u e O f D i a g r a m O b j e c t K e y a n y T y p e z b w N T n L X & g t ; & l t ; a : K e y V a l u e O f D i a g r a m O b j e c t K e y a n y T y p e z b w N T n L X & g t ; & l t ; a : K e y & g t ; & l t ; K e y & g t ; T a b l e s \ f a c t _ t a b l e \ C o l u m n s \ P a y m e n t   M e t h o d & l t ; / K e y & g t ; & l t ; / a : K e y & g t ; & l t ; a : V a l u e   i : t y p e = " D i a g r a m D i s p l a y N o d e V i e w S t a t e " & g t ; & l t ; H e i g h t & g t ; 1 5 0 & l t ; / H e i g h t & g t ; & l t ; I s E x p a n d e d & g t ; t r u e & l t ; / I s E x p a n d e d & g t ; & l t ; W i d t h & g t ; 2 0 0 & l t ; / W i d t h & g t ; & l t ; / a : V a l u e & g t ; & l t ; / a : K e y V a l u e O f D i a g r a m O b j e c t K e y a n y T y p e z b w N T n L X & g t ; & l t ; a : K e y V a l u e O f D i a g r a m O b j e c t K e y a n y T y p e z b w N T n L X & g t ; & l t ; a : K e y & g t ; & l t ; K e y & g t ; T a b l e s \ f a c t _ t a b l e \ C o l u m n s \ Q u a n t i t y   R e t u r n e d & l t ; / K e y & g t ; & l t ; / a : K e y & g t ; & l t ; a : V a l u e   i : t y p e = " D i a g r a m D i s p l a y N o d e V i e w S t a t e " & g t ; & l t ; H e i g h t & g t ; 1 5 0 & l t ; / H e i g h t & g t ; & l t ; I s E x p a n d e d & g t ; t r u e & l t ; / I s E x p a n d e d & g t ; & l t ; W i d t h & g t ; 2 0 0 & l t ; / W i d t h & g t ; & l t ; / a : V a l u e & g t ; & l t ; / a : K e y V a l u e O f D i a g r a m O b j e c t K e y a n y T y p e z b w N T n L X & g t ; & l t ; a : K e y V a l u e O f D i a g r a m O b j e c t K e y a n y T y p e z b w N T n L X & g t ; & l t ; a : K e y & g t ; & l t ; K e y & g t ; T a b l e s \ f a c t _ t a b l e \ C o l u m n s \ O r d e r   D a t e & l t ; / K e y & g t ; & l t ; / a : K e y & g t ; & l t ; a : V a l u e   i : t y p e = " D i a g r a m D i s p l a y N o d e V i e w S t a t e " & g t ; & l t ; H e i g h t & g t ; 1 5 0 & l t ; / H e i g h t & g t ; & l t ; I s E x p a n d e d & g t ; t r u e & l t ; / I s E x p a n d e d & g t ; & l t ; W i d t h & g t ; 2 0 0 & l t ; / W i d t h & g t ; & l t ; / a : V a l u e & g t ; & l t ; / a : K e y V a l u e O f D i a g r a m O b j e c t K e y a n y T y p e z b w N T n L X & g t ; & l t ; a : K e y V a l u e O f D i a g r a m O b j e c t K e y a n y T y p e z b w N T n L X & g t ; & l t ; a : K e y & g t ; & l t ; K e y & g t ; T a b l e s \ m o n t h l y _ s t o r e _ t a r g e t s & l t ; / K e y & g t ; & l t ; / a : K e y & g t ; & l t ; a : V a l u e   i : t y p e = " D i a g r a m D i s p l a y N o d e V i e w S t a t e " & g t ; & l t ; H e i g h t & g t ; 1 5 0 & l t ; / H e i g h t & g t ; & l t ; I s E x p a n d e d & g t ; t r u e & l t ; / I s E x p a n d e d & g t ; & l t ; L a y e d O u t & g t ; t r u e & l t ; / L a y e d O u t & g t ; & l t ; L e f t & g t ; 6 5 2 . 8 0 7 6 2 1 1 3 5 3 3 1 6 & l t ; / L e f t & g t ; & l t ; T a b I n d e x & g t ; 6 & l t ; / T a b I n d e x & g t ; & l t ; T o p & g t ; 2 5 5 & l t ; / T o p & g t ; & l t ; W i d t h & g t ; 2 0 0 & l t ; / W i d t h & g t ; & l t ; / a : V a l u e & g t ; & l t ; / a : K e y V a l u e O f D i a g r a m O b j e c t K e y a n y T y p e z b w N T n L X & g t ; & l t ; a : K e y V a l u e O f D i a g r a m O b j e c t K e y a n y T y p e z b w N T n L X & g t ; & l t ; a : K e y & g t ; & l t ; K e y & g t ; T a b l e s \ m o n t h l y _ s t o r e _ t a r g e t s \ C o l u m n s \ S t o r e   I D & l t ; / K e y & g t ; & l t ; / a : K e y & g t ; & l t ; a : V a l u e   i : t y p e = " D i a g r a m D i s p l a y N o d e V i e w S t a t e " & g t ; & l t ; H e i g h t & g t ; 1 5 0 & l t ; / H e i g h t & g t ; & l t ; I s E x p a n d e d & g t ; t r u e & l t ; / I s E x p a n d e d & g t ; & l t ; W i d t h & g t ; 2 0 0 & l t ; / W i d t h & g t ; & l t ; / a : V a l u e & g t ; & l t ; / a : K e y V a l u e O f D i a g r a m O b j e c t K e y a n y T y p e z b w N T n L X & g t ; & l t ; a : K e y V a l u e O f D i a g r a m O b j e c t K e y a n y T y p e z b w N T n L X & g t ; & l t ; a : K e y & g t ; & l t ; K e y & g t ; T a b l e s \ m o n t h l y _ s t o r e _ t a r g e t s \ C o l u m n s \ D a t e & l t ; / K e y & g t ; & l t ; / a : K e y & g t ; & l t ; a : V a l u e   i : t y p e = " D i a g r a m D i s p l a y N o d e V i e w S t a t e " & g t ; & l t ; H e i g h t & g t ; 1 5 0 & l t ; / H e i g h t & g t ; & l t ; I s E x p a n d e d & g t ; t r u e & l t ; / I s E x p a n d e d & g t ; & l t ; W i d t h & g t ; 2 0 0 & l t ; / W i d t h & g t ; & l t ; / a : V a l u e & g t ; & l t ; / a : K e y V a l u e O f D i a g r a m O b j e c t K e y a n y T y p e z b w N T n L X & g t ; & l t ; a : K e y V a l u e O f D i a g r a m O b j e c t K e y a n y T y p e z b w N T n L X & g t ; & l t ; a : K e y & g t ; & l t ; K e y & g t ; T a b l e s \ m o n t h l y _ s t o r e _ t a r g e t s \ C o l u m n s \ M o n t h l y   T a r g e t & l t ; / K e y & g t ; & l t ; / a : K e y & g t ; & l t ; a : V a l u e   i : t y p e = " D i a g r a m D i s p l a y N o d e V i e w S t a t e " & g t ; & l t ; H e i g h t & g t ; 1 5 0 & l t ; / H e i g h t & g t ; & l t ; I s E x p a n d e d & g t ; t r u e & l t ; / I s E x p a n d e d & g t ; & l t ; W i d t h & g t ; 2 0 0 & l t ; / W i d t h & g t ; & l t ; / a : V a l u e & g t ; & l t ; / a : K e y V a l u e O f D i a g r a m O b j e c t K e y a n y T y p e z b w N T n L X & g t ; & l t ; a : K e y V a l u e O f D i a g r a m O b j e c t K e y a n y T y p e z b w N T n L X & g t ; & l t ; a : K e y & g t ; & l t ; K e y & g t ; T a b l e s \ p r o d u c t s _ t a b l e & l t ; / K e y & g t ; & l t ; / a : K e y & g t ; & l t ; a : V a l u e   i : t y p e = " D i a g r a m D i s p l a y N o d e V i e w S t a t e " & g t ; & l t ; H e i g h t & g t ; 1 5 4 & l t ; / H e i g h t & g t ; & l t ; I s E x p a n d e d & g t ; t r u e & l t ; / I s E x p a n d e d & g t ; & l t ; L a y e d O u t & g t ; t r u e & l t ; / L a y e d O u t & g t ; & l t ; L e f t & g t ; 4 1 4 . 7 1 1 4 3 1 7 0 2 9 9 7 2 9 & l t ; / L e f t & g t ; & l t ; S c r o l l V e r t i c a l O f f s e t & g t ; 9 & l t ; / S c r o l l V e r t i c a l O f f s e t & g t ; & l t ; T a b I n d e x & g t ; 2 & l t ; / T a b I n d e x & g t ; & l t ; T o p & g t ; 2 & l t ; / T o p & g t ; & l t ; W i d t h & g t ; 2 0 0 & l t ; / W i d t h & g t ; & l t ; / a : V a l u e & g t ; & l t ; / a : K e y V a l u e O f D i a g r a m O b j e c t K e y a n y T y p e z b w N T n L X & g t ; & l t ; a : K e y V a l u e O f D i a g r a m O b j e c t K e y a n y T y p e z b w N T n L X & g t ; & l t ; a : K e y & g t ; & l t ; K e y & g t ; T a b l e s \ p r o d u c t s _ t a b l e \ C o l u m n s \ P r o d u c t   I D & l t ; / K e y & g t ; & l t ; / a : K e y & g t ; & l t ; a : V a l u e   i : t y p e = " D i a g r a m D i s p l a y N o d e V i e w S t a t e " & g t ; & l t ; H e i g h t & g t ; 1 5 0 & l t ; / H e i g h t & g t ; & l t ; I s E x p a n d e d & g t ; t r u e & l t ; / I s E x p a n d e d & g t ; & l t ; W i d t h & g t ; 2 0 0 & l t ; / W i d t h & g t ; & l t ; / a : V a l u e & g t ; & l t ; / a : K e y V a l u e O f D i a g r a m O b j e c t K e y a n y T y p e z b w N T n L X & g t ; & l t ; a : K e y V a l u e O f D i a g r a m O b j e c t K e y a n y T y p e z b w N T n L X & g t ; & l t ; a : K e y & g t ; & l t ; K e y & g t ; T a b l e s \ p r o d u c t s _ t a b l e \ C o l u m n s \ P r o d u c t   N a m e & l t ; / K e y & g t ; & l t ; / a : K e y & g t ; & l t ; a : V a l u e   i : t y p e = " D i a g r a m D i s p l a y N o d e V i e w S t a t e " & g t ; & l t ; H e i g h t & g t ; 1 5 0 & l t ; / H e i g h t & g t ; & l t ; I s E x p a n d e d & g t ; t r u e & l t ; / I s E x p a n d e d & g t ; & l t ; W i d t h & g t ; 2 0 0 & l t ; / W i d t h & g t ; & l t ; / a : V a l u e & g t ; & l t ; / a : K e y V a l u e O f D i a g r a m O b j e c t K e y a n y T y p e z b w N T n L X & g t ; & l t ; a : K e y V a l u e O f D i a g r a m O b j e c t K e y a n y T y p e z b w N T n L X & g t ; & l t ; a : K e y & g t ; & l t ; K e y & g t ; T a b l e s \ p r o d u c t s _ t a b l e \ C o l u m n s \ C a t e g o r y & l t ; / K e y & g t ; & l t ; / a : K e y & g t ; & l t ; a : V a l u e   i : t y p e = " D i a g r a m D i s p l a y N o d e V i e w S t a t e " & g t ; & l t ; H e i g h t & g t ; 1 5 0 & l t ; / H e i g h t & g t ; & l t ; I s E x p a n d e d & g t ; t r u e & l t ; / I s E x p a n d e d & g t ; & l t ; W i d t h & g t ; 2 0 0 & l t ; / W i d t h & g t ; & l t ; / a : V a l u e & g t ; & l t ; / a : K e y V a l u e O f D i a g r a m O b j e c t K e y a n y T y p e z b w N T n L X & g t ; & l t ; a : K e y V a l u e O f D i a g r a m O b j e c t K e y a n y T y p e z b w N T n L X & g t ; & l t ; a : K e y & g t ; & l t ; K e y & g t ; T a b l e s \ p r o d u c t s _ t a b l e \ C o l u m n s \ S a l e s   P r i c e & l t ; / K e y & g t ; & l t ; / a : K e y & g t ; & l t ; a : V a l u e   i : t y p e = " D i a g r a m D i s p l a y N o d e V i e w S t a t e " & g t ; & l t ; H e i g h t & g t ; 1 5 0 & l t ; / H e i g h t & g t ; & l t ; I s E x p a n d e d & g t ; t r u e & l t ; / I s E x p a n d e d & g t ; & l t ; W i d t h & g t ; 2 0 0 & l t ; / W i d t h & g t ; & l t ; / a : V a l u e & g t ; & l t ; / a : K e y V a l u e O f D i a g r a m O b j e c t K e y a n y T y p e z b w N T n L X & g t ; & l t ; a : K e y V a l u e O f D i a g r a m O b j e c t K e y a n y T y p e z b w N T n L X & g t ; & l t ; a : K e y & g t ; & l t ; K e y & g t ; T a b l e s \ p r o d u c t s _ t a b l e \ C o l u m n s \ C o s t   P r i c e & l t ; / K e y & g t ; & l t ; / a : K e y & g t ; & l t ; a : V a l u e   i : t y p e = " D i a g r a m D i s p l a y N o d e V i e w S t a t e " & g t ; & l t ; H e i g h t & g t ; 1 5 0 & l t ; / H e i g h t & g t ; & l t ; I s E x p a n d e d & g t ; t r u e & l t ; / I s E x p a n d e d & g t ; & l t ; W i d t h & g t ; 2 0 0 & l t ; / W i d t h & g t ; & l t ; / a : V a l u e & g t ; & l t ; / a : K e y V a l u e O f D i a g r a m O b j e c t K e y a n y T y p e z b w N T n L X & g t ; & l t ; a : K e y V a l u e O f D i a g r a m O b j e c t K e y a n y T y p e z b w N T n L X & g t ; & l t ; a : K e y & g t ; & l t ; K e y & g t ; T a b l e s \ s a l e s _ p e r s o n s _ t a b l e & l t ; / K e y & g t ; & l t ; / a : K e y & g t ; & l t ; a : V a l u e   i : t y p e = " D i a g r a m D i s p l a y N o d e V i e w S t a t e " & g t ; & l t ; H e i g h t & g t ; 1 5 0 & l t ; / H e i g h t & g t ; & l t ; I s E x p a n d e d & g t ; t r u e & l t ; / I s E x p a n d e d & g t ; & l t ; L a y e d O u t & g t ; t r u e & l t ; / L a y e d O u t & g t ; & l t ; L e f t & g t ; 2 0 5 . 6 1 5 2 4 2 2 7 0 6 6 3 2 & l t ; / L e f t & g t ; & l t ; T a b I n d e x & g t ; 1 & l t ; / T a b I n d e x & g t ; & l t ; W i d t h & g t ; 2 0 0 & l t ; / W i d t h & g t ; & l t ; / a : V a l u e & g t ; & l t ; / a : K e y V a l u e O f D i a g r a m O b j e c t K e y a n y T y p e z b w N T n L X & g t ; & l t ; a : K e y V a l u e O f D i a g r a m O b j e c t K e y a n y T y p e z b w N T n L X & g t ; & l t ; a : K e y & g t ; & l t ; K e y & g t ; T a b l e s \ s a l e s _ p e r s o n s _ t a b l e \ C o l u m n s \ S a l e s   P e r s o n   I D & l t ; / K e y & g t ; & l t ; / a : K e y & g t ; & l t ; a : V a l u e   i : t y p e = " D i a g r a m D i s p l a y N o d e V i e w S t a t e " & g t ; & l t ; H e i g h t & g t ; 1 5 0 & l t ; / H e i g h t & g t ; & l t ; I s E x p a n d e d & g t ; t r u e & l t ; / I s E x p a n d e d & g t ; & l t ; W i d t h & g t ; 2 0 0 & l t ; / W i d t h & g t ; & l t ; / a : V a l u e & g t ; & l t ; / a : K e y V a l u e O f D i a g r a m O b j e c t K e y a n y T y p e z b w N T n L X & g t ; & l t ; a : K e y V a l u e O f D i a g r a m O b j e c t K e y a n y T y p e z b w N T n L X & g t ; & l t ; a : K e y & g t ; & l t ; K e y & g t ; T a b l e s \ s a l e s _ p e r s o n s _ t a b l e \ C o l u m n s \ F u l l   N a m e & l t ; / K e y & g t ; & l t ; / a : K e y & g t ; & l t ; a : V a l u e   i : t y p e = " D i a g r a m D i s p l a y N o d e V i e w S t a t e " & g t ; & l t ; H e i g h t & g t ; 1 5 0 & l t ; / H e i g h t & g t ; & l t ; I s E x p a n d e d & g t ; t r u e & l t ; / I s E x p a n d e d & g t ; & l t ; W i d t h & g t ; 2 0 0 & l t ; / W i d t h & g t ; & l t ; / a : V a l u e & g t ; & l t ; / a : K e y V a l u e O f D i a g r a m O b j e c t K e y a n y T y p e z b w N T n L X & g t ; & l t ; a : K e y V a l u e O f D i a g r a m O b j e c t K e y a n y T y p e z b w N T n L X & g t ; & l t ; a : K e y & g t ; & l t ; K e y & g t ; T a b l e s \ s a l e s _ p e r s o n s _ t a b l e \ C o l u m n s \ S t o r e   N a m e & l t ; / K e y & g t ; & l t ; / a : K e y & g t ; & l t ; a : V a l u e   i : t y p e = " D i a g r a m D i s p l a y N o d e V i e w S t a t e " & g t ; & l t ; H e i g h t & g t ; 1 5 0 & l t ; / H e i g h t & g t ; & l t ; I s E x p a n d e d & g t ; t r u e & l t ; / I s E x p a n d e d & g t ; & l t ; W i d t h & g t ; 2 0 0 & l t ; / W i d t h & g t ; & l t ; / a : V a l u e & g t ; & l t ; / a : K e y V a l u e O f D i a g r a m O b j e c t K e y a n y T y p e z b w N T n L X & g t ; & l t ; a : K e y V a l u e O f D i a g r a m O b j e c t K e y a n y T y p e z b w N T n L X & g t ; & l t ; a : K e y & g t ; & l t ; K e y & g t ; T a b l e s \ s a l e s _ p e r s o n s _ t a b l e \ C o l u m n s \ S a l e s   P e r s o n   A g e & l t ; / K e y & g t ; & l t ; / a : K e y & g t ; & l t ; a : V a l u e   i : t y p e = " D i a g r a m D i s p l a y N o d e V i e w S t a t e " & g t ; & l t ; H e i g h t & g t ; 1 5 0 & l t ; / H e i g h t & g t ; & l t ; I s E x p a n d e d & g t ; t r u e & l t ; / I s E x p a n d e d & g t ; & l t ; W i d t h & g t ; 2 0 0 & l t ; / W i d t h & g t ; & l t ; / a : V a l u e & g t ; & l t ; / a : K e y V a l u e O f D i a g r a m O b j e c t K e y a n y T y p e z b w N T n L X & g t ; & l t ; a : K e y V a l u e O f D i a g r a m O b j e c t K e y a n y T y p e z b w N T n L X & g t ; & l t ; a : K e y & g t ; & l t ; K e y & g t ; T a b l e s \ D a t e & l t ; / K e y & g t ; & l t ; / a : K e y & g t ; & l t ; a : V a l u e   i : t y p e = " D i a g r a m D i s p l a y N o d e V i e w S t a t e " & g t ; & l t ; H e i g h t & g t ; 1 5 0 & l t ; / H e i g h t & g t ; & l t ; I s E x p a n d e d & g t ; t r u e & l t ; / I s E x p a n d e d & g t ; & l t ; L a y e d O u t & g t ; t r u e & l t ; / L a y e d O u t & g t ; & l t ; L e f t & g t ; 6 4 2 . 5 1 9 0 5 2 8 3 8 3 2 9 1 2 & l t ; / L e f t & g t ; & l t ; S c r o l l V e r t i c a l O f f s e t & g t ; 3 & l t ; / S c r o l l V e r t i c a l O f f s e t & g t ; & l t ; T a b I n d e x & g t ; 3 & l t ; / T a b I n d e x & g t ; & l t ; T o p & g t ; 6 & l t ; / T o p & g t ; & l t ; W i d t h & g t ; 2 0 0 & l t ; / W i d t h & g t ; & l t ; / a : V a l u e & g t ; & l t ; / a : K e y V a l u e O f D i a g r a m O b j e c t K e y a n y T y p e z b w N T n L X & g t ; & l t ; a : K e y V a l u e O f D i a g r a m O b j e c t K e y a n y T y p e z b w N T n L X & g t ; & l t ; a : K e y & g t ; & l t ; K e y & g t ; T a b l e s \ D a t e \ C o l u m n s \ O r d e r   D a t e & l t ; / K e y & g t ; & l t ; / a : K e y & g t ; & l t ; a : V a l u e   i : t y p e = " D i a g r a m D i s p l a y N o d e V i e w S t a t e " & g t ; & l t ; H e i g h t & g t ; 1 5 0 & l t ; / H e i g h t & g t ; & l t ; I s E x p a n d e d & g t ; t r u e & l t ; / I s E x p a n d e d & g t ; & l t ; W i d t h & g t ; 2 0 0 & l t ; / W i d t h & g t ; & l t ; / a : V a l u e & g t ; & l t ; / a : K e y V a l u e O f D i a g r a m O b j e c t K e y a n y T y p e z b w N T n L X & g t ; & l t ; a : K e y V a l u e O f D i a g r a m O b j e c t K e y a n y T y p e z b w N T n L X & g t ; & l t ; a : K e y & g t ; & l t ; K e y & g t ; T a b l e s \ D a t e \ C o l u m n s \ Y e a r & l t ; / K e y & g t ; & l t ; / a : K e y & g t ; & l t ; a : V a l u e   i : t y p e = " D i a g r a m D i s p l a y N o d e V i e w S t a t e " & g t ; & l t ; H e i g h t & g t ; 1 5 0 & l t ; / H e i g h t & g t ; & l t ; I s E x p a n d e d & g t ; t r u e & l t ; / I s E x p a n d e d & g t ; & l t ; W i d t h & g t ; 2 0 0 & l t ; / W i d t h & g t ; & l t ; / a : V a l u e & g t ; & l t ; / a : K e y V a l u e O f D i a g r a m O b j e c t K e y a n y T y p e z b w N T n L X & g t ; & l t ; a : K e y V a l u e O f D i a g r a m O b j e c t K e y a n y T y p e z b w N T n L X & g t ; & l t ; a : K e y & g t ; & l t ; K e y & g t ; T a b l e s \ D a t e \ C o l u m n s \ M o n t h & l t ; / K e y & g t ; & l t ; / a : K e y & g t ; & l t ; a : V a l u e   i : t y p e = " D i a g r a m D i s p l a y N o d e V i e w S t a t e " & g t ; & l t ; H e i g h t & g t ; 1 5 0 & l t ; / H e i g h t & g t ; & l t ; I s E x p a n d e d & g t ; t r u e & l t ; / I s E x p a n d e d & g t ; & l t ; W i d t h & g t ; 2 0 0 & l t ; / W i d t h & g t ; & l t ; / a : V a l u e & g t ; & l t ; / a : K e y V a l u e O f D i a g r a m O b j e c t K e y a n y T y p e z b w N T n L X & g t ; & l t ; a : K e y V a l u e O f D i a g r a m O b j e c t K e y a n y T y p e z b w N T n L X & g t ; & l t ; a : K e y & g t ; & l t ; K e y & g t ; T a b l e s \ D a t e \ C o l u m n s \ M o n t h   N o . & l t ; / K e y & g t ; & l t ; / a : K e y & g t ; & l t ; a : V a l u e   i : t y p e = " D i a g r a m D i s p l a y N o d e V i e w S t a t e " & g t ; & l t ; H e i g h t & g t ; 1 5 0 & l t ; / H e i g h t & g t ; & l t ; I s E x p a n d e d & g t ; t r u e & l t ; / I s E x p a n d e d & g t ; & l t ; W i d t h & g t ; 2 0 0 & l t ; / W i d t h & g t ; & l t ; / a : V a l u e & g t ; & l t ; / a : K e y V a l u e O f D i a g r a m O b j e c t K e y a n y T y p e z b w N T n L X & g t ; & l t ; a : K e y V a l u e O f D i a g r a m O b j e c t K e y a n y T y p e z b w N T n L X & g t ; & l t ; a : K e y & g t ; & l t ; K e y & g t ; T a b l e s \ D a t e \ C o l u m n s \ D a y   N a m e & l t ; / K e y & g t ; & l t ; / a : K e y & g t ; & l t ; a : V a l u e   i : t y p e = " D i a g r a m D i s p l a y N o d e V i e w S t a t e " & g t ; & l t ; H e i g h t & g t ; 1 5 0 & l t ; / H e i g h t & g t ; & l t ; I s E x p a n d e d & g t ; t r u e & l t ; / I s E x p a n d e d & g t ; & l t ; W i d t h & g t ; 2 0 0 & l t ; / W i d t h & g t ; & l t ; / a : V a l u e & g t ; & l t ; / a : K e y V a l u e O f D i a g r a m O b j e c t K e y a n y T y p e z b w N T n L X & g t ; & l t ; a : K e y V a l u e O f D i a g r a m O b j e c t K e y a n y T y p e z b w N T n L X & g t ; & l t ; a : K e y & g t ; & l t ; K e y & g t ; T a b l e s \ D a t e \ C o l u m n s \ W e e k   N o & l t ; / K e y & g t ; & l t ; / a : K e y & g t ; & l t ; a : V a l u e   i : t y p e = " D i a g r a m D i s p l a y N o d e V i e w S t a t e " & g t ; & l t ; H e i g h t & g t ; 1 5 0 & l t ; / H e i g h t & g t ; & l t ; I s E x p a n d e d & g t ; t r u e & l t ; / I s E x p a n d e d & g t ; & l t ; W i d t h & g t ; 2 0 0 & l t ; / W i d t h & g t ; & l t ; / a : V a l u e & g t ; & l t ; / a : K e y V a l u e O f D i a g r a m O b j e c t K e y a n y T y p e z b w N T n L X & g t ; & l t ; a : K e y V a l u e O f D i a g r a m O b j e c t K e y a n y T y p e z b w N T n L X & g t ; & l t ; a : K e y & g t ; & l t ; K e y & g t ; T a b l e s \ D a t e \ C o l u m n s \ W e e k T y p e & l t ; / K e y & g t ; & l t ; / a : K e y & g t ; & l t ; a : V a l u e   i : t y p e = " D i a g r a m D i s p l a y N o d e V i e w S t a t e " & g t ; & l t ; H e i g h t & g t ; 1 5 0 & l t ; / H e i g h t & g t ; & l t ; I s E x p a n d e d & g t ; t r u e & l t ; / I s E x p a n d e d & g t ; & l t ; W i d t h & g t ; 2 0 0 & l t ; / W i d t h & g t ; & l t ; / a : V a l u e & g t ; & l t ; / a : K e y V a l u e O f D i a g r a m O b j e c t K e y a n y T y p e z b w N T n L X & g t ; & l t ; a : K e y V a l u e O f D i a g r a m O b j e c t K e y a n y T y p e z b w N T n L X & g t ; & l t ; a : K e y & g t ; & l t ; K e y & g t ; T a b l e s \ D a t e \ C o l u m n s \ Q u a r t e r & l t ; / K e y & g t ; & l t ; / a : K e y & g t ; & l t ; a : V a l u e   i : t y p e = " D i a g r a m D i s p l a y N o d e V i e w S t a t e " & g t ; & l t ; H e i g h t & g t ; 1 5 0 & l t ; / H e i g h t & g t ; & l t ; I s E x p a n d e d & g t ; t r u e & l t ; / I s E x p a n d e d & g t ; & l t ; W i d t h & g t ; 2 0 0 & l t ; / W i d t h & g t ; & l t ; / a : V a l u e & g t ; & l t ; / a : K e y V a l u e O f D i a g r a m O b j e c t K e y a n y T y p e z b w N T n L X & g t ; & l t ; a : K e y V a l u e O f D i a g r a m O b j e c t K e y a n y T y p e z b w N T n L X & g t ; & l t ; a : K e y & g t ; & l t ; K e y & g t ; R e l a t i o n s h i p s \ & a m p ; l t ; T a b l e s \ f a c t _ t a b l e \ C o l u m n s \ C u s t o m e r   I D & a m p ; g t ; - & a m p ; l t ; T a b l e s \ c u s t o m e r s _ t a b l e \ C o l u m n s \ C u s t o m e r   I D & a m p ; g t ; & l t ; / K e y & g t ; & l t ; / a : K e y & g t ; & l t ; a : V a l u e   i : t y p e = " D i a g r a m D i s p l a y L i n k V i e w S t a t e " & g t ; & l t ; A u t o m a t i o n P r o p e r t y H e l p e r T e x t & g t ; E n d   p o i n t   1 :   ( 4 0 2 . 9 0 3 8 1 0 5 6 7 6 6 6 , 3 3 9 ) .   E n d   p o i n t   2 :   ( 1 0 0 , 1 6 6 )   & l t ; / A u t o m a t i o n P r o p e r t y H e l p e r T e x t & g t ; & l t ; L a y e d O u t & g t ; t r u e & l t ; / L a y e d O u t & g t ; & l t ; P o i n t s   x m l n s : b = " h t t p : / / s c h e m a s . d a t a c o n t r a c t . o r g / 2 0 0 4 / 0 7 / S y s t e m . W i n d o w s " & g t ; & l t ; b : P o i n t & g t ; & l t ; b : _ x & g t ; 4 0 2 . 9 0 3 8 1 0 5 6 7 6 6 5 8 & l t ; / b : _ x & g t ; & l t ; b : _ y & g t ; 3 3 9 & l t ; / b : _ y & g t ; & l t ; / b : P o i n t & g t ; & l t ; b : P o i n t & g t ; & l t ; b : _ x & g t ; 1 0 2 & l t ; / b : _ x & g t ; & l t ; b : _ y & g t ; 3 3 9 & l t ; / b : _ y & g t ; & l t ; / b : P o i n t & g t ; & l t ; b : P o i n t & g t ; & l t ; b : _ x & g t ; 1 0 0 & l t ; / b : _ x & g t ; & l t ; b : _ y & g t ; 3 3 7 & l t ; / b : _ y & g t ; & l t ; / b : P o i n t & g t ; & l t ; b : P o i n t & g t ; & l t ; b : _ x & g t ; 1 0 0 & l t ; / b : _ x & g t ; & l t ; b : _ y & g t ; 1 6 6 & l t ; / b : _ y & g t ; & l t ; / b : P o i n t & g t ; & l t ; / P o i n t s & g t ; & l t ; / a : V a l u e & g t ; & l t ; / a : K e y V a l u e O f D i a g r a m O b j e c t K e y a n y T y p e z b w N T n L X & g t ; & l t ; a : K e y V a l u e O f D i a g r a m O b j e c t K e y a n y T y p e z b w N T n L X & g t ; & l t ; a : K e y & g t ; & l t ; K e y & g t ; R e l a t i o n s h i p s \ & a m p ; l t ; T a b l e s \ f a c t _ t a b l e \ C o l u m n s \ C u s t o m e r   I D & a m p ; g t ; - & a m p ; l t ; T a b l e s \ c u s t o m e r s _ t a b l e \ C o l u m n s \ C u s t o m e r   I D & a m p ; g t ; \ F K & l t ; / K e y & g t ; & l t ; / a : K e y & g t ; & l t ; a : V a l u e   i : t y p e = " D i a g r a m D i s p l a y L i n k E n d p o i n t V i e w S t a t e " & g t ; & l t ; H e i g h t & g t ; 1 6 & l t ; / H e i g h t & g t ; & l t ; L a b e l L o c a t i o n   x m l n s : b = " h t t p : / / s c h e m a s . d a t a c o n t r a c t . o r g / 2 0 0 4 / 0 7 / S y s t e m . W i n d o w s " & g t ; & l t ; b : _ x & g t ; 4 0 2 . 9 0 3 8 1 0 5 6 7 6 6 5 8 & l t ; / b : _ x & g t ; & l t ; b : _ y & g t ; 3 3 1 & l t ; / b : _ y & g t ; & l t ; / L a b e l L o c a t i o n & g t ; & l t ; L o c a t i o n   x m l n s : b = " h t t p : / / s c h e m a s . d a t a c o n t r a c t . o r g / 2 0 0 4 / 0 7 / S y s t e m . W i n d o w s " & g t ; & l t ; b : _ x & g t ; 4 1 8 . 9 0 3 8 1 0 5 6 7 6 6 5 8 & l t ; / b : _ x & g t ; & l t ; b : _ y & g t ; 3 3 9 & l t ; / b : _ y & g t ; & l t ; / L o c a t i o n & g t ; & l t ; S h a p e R o t a t e A n g l e & g t ; 1 8 0 & l t ; / S h a p e R o t a t e A n g l e & g t ; & l t ; W i d t h & g t ; 1 6 & l t ; / W i d t h & g t ; & l t ; / a : V a l u e & g t ; & l t ; / a : K e y V a l u e O f D i a g r a m O b j e c t K e y a n y T y p e z b w N T n L X & g t ; & l t ; a : K e y V a l u e O f D i a g r a m O b j e c t K e y a n y T y p e z b w N T n L X & g t ; & l t ; a : K e y & g t ; & l t ; K e y & g t ; R e l a t i o n s h i p s \ & a m p ; l t ; T a b l e s \ f a c t _ t a b l e \ C o l u m n s \ C u s t o m e r   I D & a m p ; g t ; - & a m p ; l t ; T a b l e s \ c u s t o m e r s _ t a b l e \ C o l u m n s \ C u s t o m e r   I D & a m p ; g t ; \ P K & l t ; / K e y & g t ; & l t ; / a : K e y & g t ; & l t ; a : V a l u e   i : t y p e = " D i a g r a m D i s p l a y L i n k E n d p o i n t V i e w S t a t e " & g t ; & l t ; H e i g h t & g t ; 1 6 & l t ; / H e i g h t & g t ; & l t ; L a b e l L o c a t i o n   x m l n s : b = " h t t p : / / s c h e m a s . d a t a c o n t r a c t . o r g / 2 0 0 4 / 0 7 / S y s t e m . W i n d o w s " & g t ; & l t ; b : _ x & g t ; 9 2 & l t ; / b : _ x & g t ; & l t ; b : _ y & g t ; 1 5 0 & l t ; / b : _ y & g t ; & l t ; / L a b e l L o c a t i o n & g t ; & l t ; L o c a t i o n   x m l n s : b = " h t t p : / / s c h e m a s . d a t a c o n t r a c t . o r g / 2 0 0 4 / 0 7 / S y s t e m . W i n d o w s " & g t ; & l t ; b : _ x & g t ; 1 0 0 & l t ; / b : _ x & g t ; & l t ; b : _ y & g t ; 1 5 0 . 0 0 0 0 0 0 0 0 0 0 0 0 0 3 & l t ; / b : _ y & g t ; & l t ; / L o c a t i o n & g t ; & l t ; S h a p e R o t a t e A n g l e & g t ; 9 0 & l t ; / S h a p e R o t a t e A n g l e & g t ; & l t ; W i d t h & g t ; 1 6 & l t ; / W i d t h & g t ; & l t ; / a : V a l u e & g t ; & l t ; / a : K e y V a l u e O f D i a g r a m O b j e c t K e y a n y T y p e z b w N T n L X & g t ; & l t ; a : K e y V a l u e O f D i a g r a m O b j e c t K e y a n y T y p e z b w N T n L X & g t ; & l t ; a : K e y & g t ; & l t ; K e y & g t ; R e l a t i o n s h i p s \ & a m p ; l t ; T a b l e s \ f a c t _ t a b l e \ C o l u m n s \ C u s t o m e r   I D & a m p ; g t ; - & a m p ; l t ; T a b l e s \ c u s t o m e r s _ t a b l e \ C o l u m n s \ C u s t o m e r   I D & a m p ; g t ; \ C r o s s F i l t e r & l t ; / K e y & g t ; & l t ; / a : K e y & g t ; & l t ; a : V a l u e   i : t y p e = " D i a g r a m D i s p l a y L i n k C r o s s F i l t e r V i e w S t a t e " & g t ; & l t ; P o i n t s   x m l n s : b = " h t t p : / / s c h e m a s . d a t a c o n t r a c t . o r g / 2 0 0 4 / 0 7 / S y s t e m . W i n d o w s " & g t ; & l t ; b : P o i n t & g t ; & l t ; b : _ x & g t ; 4 0 2 . 9 0 3 8 1 0 5 6 7 6 6 5 8 & l t ; / b : _ x & g t ; & l t ; b : _ y & g t ; 3 3 9 & l t ; / b : _ y & g t ; & l t ; / b : P o i n t & g t ; & l t ; b : P o i n t & g t ; & l t ; b : _ x & g t ; 1 0 2 & l t ; / b : _ x & g t ; & l t ; b : _ y & g t ; 3 3 9 & l t ; / b : _ y & g t ; & l t ; / b : P o i n t & g t ; & l t ; b : P o i n t & g t ; & l t ; b : _ x & g t ; 1 0 0 & l t ; / b : _ x & g t ; & l t ; b : _ y & g t ; 3 3 7 & l t ; / b : _ y & g t ; & l t ; / b : P o i n t & g t ; & l t ; b : P o i n t & g t ; & l t ; b : _ x & g t ; 1 0 0 & l t ; / b : _ x & g t ; & l t ; b : _ y & g t ; 1 6 6 & l t ; / b : _ y & g t ; & l t ; / b : P o i n t & g t ; & l t ; / P o i n t s & g t ; & l t ; / a : V a l u e & g t ; & l t ; / a : K e y V a l u e O f D i a g r a m O b j e c t K e y a n y T y p e z b w N T n L X & g t ; & l t ; a : K e y V a l u e O f D i a g r a m O b j e c t K e y a n y T y p e z b w N T n L X & g t ; & l t ; a : K e y & g t ; & l t ; K e y & g t ; R e l a t i o n s h i p s \ & a m p ; l t ; T a b l e s \ f a c t _ t a b l e \ C o l u m n s \ P r o d u c t   I D & a m p ; g t ; - & a m p ; l t ; T a b l e s \ p r o d u c t s _ t a b l e \ C o l u m n s \ P r o d u c t   I D & a m p ; g t ; & l t ; / K e y & g t ; & l t ; / a : K e y & g t ; & l t ; a : V a l u e   i : t y p e = " D i a g r a m D i s p l a y L i n k V i e w S t a t e " & g t ; & l t ; A u t o m a t i o n P r o p e r t y H e l p e r T e x t & g t ; E n d   p o i n t   1 :   ( 5 2 6 . 8 0 7 6 2 2 , 2 3 8 ) .   E n d   p o i n t   2 :   ( 5 0 6 . 8 0 7 6 2 2 , 1 7 2 )   & l t ; / A u t o m a t i o n P r o p e r t y H e l p e r T e x t & g t ; & l t ; L a y e d O u t & g t ; t r u e & l t ; / L a y e d O u t & g t ; & l t ; P o i n t s   x m l n s : b = " h t t p : / / s c h e m a s . d a t a c o n t r a c t . o r g / 2 0 0 4 / 0 7 / S y s t e m . W i n d o w s " & g t ; & l t ; b : P o i n t & g t ; & l t ; b : _ x & g t ; 5 2 6 . 8 0 7 6 2 2 & l t ; / b : _ x & g t ; & l t ; b : _ y & g t ; 2 3 8 & l t ; / b : _ y & g t ; & l t ; / b : P o i n t & g t ; & l t ; b : P o i n t & g t ; & l t ; b : _ x & g t ; 5 2 6 . 8 0 7 6 2 2 & l t ; / b : _ x & g t ; & l t ; b : _ y & g t ; 2 2 6 . 5 & l t ; / b : _ y & g t ; & l t ; / b : P o i n t & g t ; & l t ; b : P o i n t & g t ; & l t ; b : _ x & g t ; 5 2 4 . 8 0 7 6 2 2 & l t ; / b : _ x & g t ; & l t ; b : _ y & g t ; 2 2 4 . 5 & l t ; / b : _ y & g t ; & l t ; / b : P o i n t & g t ; & l t ; b : P o i n t & g t ; & l t ; b : _ x & g t ; 5 0 8 . 8 0 7 6 2 2 & l t ; / b : _ x & g t ; & l t ; b : _ y & g t ; 2 2 4 . 5 & l t ; / b : _ y & g t ; & l t ; / b : P o i n t & g t ; & l t ; b : P o i n t & g t ; & l t ; b : _ x & g t ; 5 0 6 . 8 0 7 6 2 2 & l t ; / b : _ x & g t ; & l t ; b : _ y & g t ; 2 2 2 . 5 & l t ; / b : _ y & g t ; & l t ; / b : P o i n t & g t ; & l t ; b : P o i n t & g t ; & l t ; b : _ x & g t ; 5 0 6 . 8 0 7 6 2 2 & l t ; / b : _ x & g t ; & l t ; b : _ y & g t ; 1 7 1 . 9 9 9 9 9 9 9 9 9 9 9 9 9 4 & l t ; / b : _ y & g t ; & l t ; / b : P o i n t & g t ; & l t ; / P o i n t s & g t ; & l t ; / a : V a l u e & g t ; & l t ; / a : K e y V a l u e O f D i a g r a m O b j e c t K e y a n y T y p e z b w N T n L X & g t ; & l t ; a : K e y V a l u e O f D i a g r a m O b j e c t K e y a n y T y p e z b w N T n L X & g t ; & l t ; a : K e y & g t ; & l t ; K e y & g t ; R e l a t i o n s h i p s \ & a m p ; l t ; T a b l e s \ f a c t _ t a b l e \ C o l u m n s \ P r o d u c t   I D & a m p ; g t ; - & a m p ; l t ; T a b l e s \ p r o d u c t s _ t a b l e \ C o l u m n s \ P r o d u c t   I D & a m p ; g t ; \ F K & l t ; / K e y & g t ; & l t ; / a : K e y & g t ; & l t ; a : V a l u e   i : t y p e = " D i a g r a m D i s p l a y L i n k E n d p o i n t V i e w S t a t e " & g t ; & l t ; H e i g h t & g t ; 1 6 & l t ; / H e i g h t & g t ; & l t ; L a b e l L o c a t i o n   x m l n s : b = " h t t p : / / s c h e m a s . d a t a c o n t r a c t . o r g / 2 0 0 4 / 0 7 / S y s t e m . W i n d o w s " & g t ; & l t ; b : _ x & g t ; 5 1 8 . 8 0 7 6 2 2 & l t ; / b : _ x & g t ; & l t ; b : _ y & g t ; 2 3 8 & l t ; / b : _ y & g t ; & l t ; / L a b e l L o c a t i o n & g t ; & l t ; L o c a t i o n   x m l n s : b = " h t t p : / / s c h e m a s . d a t a c o n t r a c t . o r g / 2 0 0 4 / 0 7 / S y s t e m . W i n d o w s " & g t ; & l t ; b : _ x & g t ; 5 2 6 . 8 0 7 6 2 2 & l t ; / b : _ x & g t ; & l t ; b : _ y & g t ; 2 5 4 & l t ; / b : _ y & g t ; & l t ; / L o c a t i o n & g t ; & l t ; S h a p e R o t a t e A n g l e & g t ; 2 7 0 & l t ; / S h a p e R o t a t e A n g l e & g t ; & l t ; W i d t h & g t ; 1 6 & l t ; / W i d t h & g t ; & l t ; / a : V a l u e & g t ; & l t ; / a : K e y V a l u e O f D i a g r a m O b j e c t K e y a n y T y p e z b w N T n L X & g t ; & l t ; a : K e y V a l u e O f D i a g r a m O b j e c t K e y a n y T y p e z b w N T n L X & g t ; & l t ; a : K e y & g t ; & l t ; K e y & g t ; R e l a t i o n s h i p s \ & a m p ; l t ; T a b l e s \ f a c t _ t a b l e \ C o l u m n s \ P r o d u c t   I D & a m p ; g t ; - & a m p ; l t ; T a b l e s \ p r o d u c t s _ t a b l e \ C o l u m n s \ P r o d u c t   I D & a m p ; g t ; \ P K & l t ; / K e y & g t ; & l t ; / a : K e y & g t ; & l t ; a : V a l u e   i : t y p e = " D i a g r a m D i s p l a y L i n k E n d p o i n t V i e w S t a t e " & g t ; & l t ; H e i g h t & g t ; 1 6 & l t ; / H e i g h t & g t ; & l t ; L a b e l L o c a t i o n   x m l n s : b = " h t t p : / / s c h e m a s . d a t a c o n t r a c t . o r g / 2 0 0 4 / 0 7 / S y s t e m . W i n d o w s " & g t ; & l t ; b : _ x & g t ; 4 9 8 . 8 0 7 6 2 2 & l t ; / b : _ x & g t ; & l t ; b : _ y & g t ; 1 5 5 . 9 9 9 9 9 9 9 9 9 9 9 9 9 4 & l t ; / b : _ y & g t ; & l t ; / L a b e l L o c a t i o n & g t ; & l t ; L o c a t i o n   x m l n s : b = " h t t p : / / s c h e m a s . d a t a c o n t r a c t . o r g / 2 0 0 4 / 0 7 / S y s t e m . W i n d o w s " & g t ; & l t ; b : _ x & g t ; 5 0 6 . 8 0 7 6 2 2 & l t ; / b : _ x & g t ; & l t ; b : _ y & g t ; 1 5 5 . 9 9 9 9 9 9 9 9 9 9 9 9 9 4 & l t ; / b : _ y & g t ; & l t ; / L o c a t i o n & g t ; & l t ; S h a p e R o t a t e A n g l e & g t ; 9 0 & l t ; / S h a p e R o t a t e A n g l e & g t ; & l t ; W i d t h & g t ; 1 6 & l t ; / W i d t h & g t ; & l t ; / a : V a l u e & g t ; & l t ; / a : K e y V a l u e O f D i a g r a m O b j e c t K e y a n y T y p e z b w N T n L X & g t ; & l t ; a : K e y V a l u e O f D i a g r a m O b j e c t K e y a n y T y p e z b w N T n L X & g t ; & l t ; a : K e y & g t ; & l t ; K e y & g t ; R e l a t i o n s h i p s \ & a m p ; l t ; T a b l e s \ f a c t _ t a b l e \ C o l u m n s \ P r o d u c t   I D & a m p ; g t ; - & a m p ; l t ; T a b l e s \ p r o d u c t s _ t a b l e \ C o l u m n s \ P r o d u c t   I D & a m p ; g t ; \ C r o s s F i l t e r & l t ; / K e y & g t ; & l t ; / a : K e y & g t ; & l t ; a : V a l u e   i : t y p e = " D i a g r a m D i s p l a y L i n k C r o s s F i l t e r V i e w S t a t e " & g t ; & l t ; P o i n t s   x m l n s : b = " h t t p : / / s c h e m a s . d a t a c o n t r a c t . o r g / 2 0 0 4 / 0 7 / S y s t e m . W i n d o w s " & g t ; & l t ; b : P o i n t & g t ; & l t ; b : _ x & g t ; 5 2 6 . 8 0 7 6 2 2 & l t ; / b : _ x & g t ; & l t ; b : _ y & g t ; 2 3 8 & l t ; / b : _ y & g t ; & l t ; / b : P o i n t & g t ; & l t ; b : P o i n t & g t ; & l t ; b : _ x & g t ; 5 2 6 . 8 0 7 6 2 2 & l t ; / b : _ x & g t ; & l t ; b : _ y & g t ; 2 2 6 . 5 & l t ; / b : _ y & g t ; & l t ; / b : P o i n t & g t ; & l t ; b : P o i n t & g t ; & l t ; b : _ x & g t ; 5 2 4 . 8 0 7 6 2 2 & l t ; / b : _ x & g t ; & l t ; b : _ y & g t ; 2 2 4 . 5 & l t ; / b : _ y & g t ; & l t ; / b : P o i n t & g t ; & l t ; b : P o i n t & g t ; & l t ; b : _ x & g t ; 5 0 8 . 8 0 7 6 2 2 & l t ; / b : _ x & g t ; & l t ; b : _ y & g t ; 2 2 4 . 5 & l t ; / b : _ y & g t ; & l t ; / b : P o i n t & g t ; & l t ; b : P o i n t & g t ; & l t ; b : _ x & g t ; 5 0 6 . 8 0 7 6 2 2 & l t ; / b : _ x & g t ; & l t ; b : _ y & g t ; 2 2 2 . 5 & l t ; / b : _ y & g t ; & l t ; / b : P o i n t & g t ; & l t ; b : P o i n t & g t ; & l t ; b : _ x & g t ; 5 0 6 . 8 0 7 6 2 2 & l t ; / b : _ x & g t ; & l t ; b : _ y & g t ; 1 7 1 . 9 9 9 9 9 9 9 9 9 9 9 9 9 4 & l t ; / b : _ y & g t ; & l t ; / b : P o i n t & g t ; & l t ; / P o i n t s & g t ; & l t ; / a : V a l u e & g t ; & l t ; / a : K e y V a l u e O f D i a g r a m O b j e c t K e y a n y T y p e z b w N T n L X & g t ; & l t ; a : K e y V a l u e O f D i a g r a m O b j e c t K e y a n y T y p e z b w N T n L X & g t ; & l t ; a : K e y & g t ; & l t ; K e y & g t ; R e l a t i o n s h i p s \ & a m p ; l t ; T a b l e s \ f a c t _ t a b l e \ C o l u m n s \ S a l e s   P e r s o n   I D & a m p ; g t ; - & a m p ; l t ; T a b l e s \ s a l e s _ p e r s o n s _ t a b l e \ C o l u m n s \ S a l e s   P e r s o n   I D & a m p ; g t ; & l t ; / K e y & g t ; & l t ; / a : K e y & g t ; & l t ; a : V a l u e   i : t y p e = " D i a g r a m D i s p l a y L i n k V i e w S t a t e " & g t ; & l t ; A u t o m a t i o n P r o p e r t y H e l p e r T e x t & g t ; E n d   p o i n t   1 :   ( 4 0 2 . 9 0 3 8 1 0 5 6 7 6 6 6 , 3 1 9 ) .   E n d   p o i n t   2 :   ( 2 9 5 . 6 1 5 2 4 2 , 1 6 6 )   & l t ; / A u t o m a t i o n P r o p e r t y H e l p e r T e x t & g t ; & l t ; L a y e d O u t & g t ; t r u e & l t ; / L a y e d O u t & g t ; & l t ; P o i n t s   x m l n s : b = " h t t p : / / s c h e m a s . d a t a c o n t r a c t . o r g / 2 0 0 4 / 0 7 / S y s t e m . W i n d o w s " & g t ; & l t ; b : P o i n t & g t ; & l t ; b : _ x & g t ; 4 0 2 . 9 0 3 8 1 0 5 6 7 6 6 5 8 6 & l t ; / b : _ x & g t ; & l t ; b : _ y & g t ; 3 1 9 & l t ; / b : _ y & g t ; & l t ; / b : P o i n t & g t ; & l t ; b : P o i n t & g t ; & l t ; b : _ x & g t ; 2 9 7 . 6 1 5 2 4 1 9 9 9 9 9 9 9 7 & l t ; / b : _ x & g t ; & l t ; b : _ y & g t ; 3 1 9 & l t ; / b : _ y & g t ; & l t ; / b : P o i n t & g t ; & l t ; b : P o i n t & g t ; & l t ; b : _ x & g t ; 2 9 5 . 6 1 5 2 4 1 9 9 9 9 9 9 9 7 & l t ; / b : _ x & g t ; & l t ; b : _ y & g t ; 3 1 7 & l t ; / b : _ y & g t ; & l t ; / b : P o i n t & g t ; & l t ; b : P o i n t & g t ; & l t ; b : _ x & g t ; 2 9 5 . 6 1 5 2 4 2 & l t ; / b : _ x & g t ; & l t ; b : _ y & g t ; 1 6 5 . 9 9 9 9 9 9 9 9 9 9 9 9 9 4 & l t ; / b : _ y & g t ; & l t ; / b : P o i n t & g t ; & l t ; / P o i n t s & g t ; & l t ; / a : V a l u e & g t ; & l t ; / a : K e y V a l u e O f D i a g r a m O b j e c t K e y a n y T y p e z b w N T n L X & g t ; & l t ; a : K e y V a l u e O f D i a g r a m O b j e c t K e y a n y T y p e z b w N T n L X & g t ; & l t ; a : K e y & g t ; & l t ; K e y & g t ; R e l a t i o n s h i p s \ & a m p ; l t ; T a b l e s \ f a c t _ t a b l e \ C o l u m n s \ S a l e s   P e r s o n   I D & a m p ; g t ; - & a m p ; l t ; T a b l e s \ s a l e s _ p e r s o n s _ t a b l e \ C o l u m n s \ S a l e s   P e r s o n   I D & a m p ; g t ; \ F K & l t ; / K e y & g t ; & l t ; / a : K e y & g t ; & l t ; a : V a l u e   i : t y p e = " D i a g r a m D i s p l a y L i n k E n d p o i n t V i e w S t a t e " & g t ; & l t ; H e i g h t & g t ; 1 6 & l t ; / H e i g h t & g t ; & l t ; L a b e l L o c a t i o n   x m l n s : b = " h t t p : / / s c h e m a s . d a t a c o n t r a c t . o r g / 2 0 0 4 / 0 7 / S y s t e m . W i n d o w s " & g t ; & l t ; b : _ x & g t ; 4 0 2 . 9 0 3 8 1 0 5 6 7 6 6 5 8 6 & l t ; / b : _ x & g t ; & l t ; b : _ y & g t ; 3 1 1 & l t ; / b : _ y & g t ; & l t ; / L a b e l L o c a t i o n & g t ; & l t ; L o c a t i o n   x m l n s : b = " h t t p : / / s c h e m a s . d a t a c o n t r a c t . o r g / 2 0 0 4 / 0 7 / S y s t e m . W i n d o w s " & g t ; & l t ; b : _ x & g t ; 4 1 8 . 9 0 3 8 1 0 5 6 7 6 6 5 8 & l t ; / b : _ x & g t ; & l t ; b : _ y & g t ; 3 1 9 & l t ; / b : _ y & g t ; & l t ; / L o c a t i o n & g t ; & l t ; S h a p e R o t a t e A n g l e & g t ; 1 8 0 & l t ; / S h a p e R o t a t e A n g l e & g t ; & l t ; W i d t h & g t ; 1 6 & l t ; / W i d t h & g t ; & l t ; / a : V a l u e & g t ; & l t ; / a : K e y V a l u e O f D i a g r a m O b j e c t K e y a n y T y p e z b w N T n L X & g t ; & l t ; a : K e y V a l u e O f D i a g r a m O b j e c t K e y a n y T y p e z b w N T n L X & g t ; & l t ; a : K e y & g t ; & l t ; K e y & g t ; R e l a t i o n s h i p s \ & a m p ; l t ; T a b l e s \ f a c t _ t a b l e \ C o l u m n s \ S a l e s   P e r s o n   I D & a m p ; g t ; - & a m p ; l t ; T a b l e s \ s a l e s _ p e r s o n s _ t a b l e \ C o l u m n s \ S a l e s   P e r s o n   I D & a m p ; g t ; \ P K & l t ; / K e y & g t ; & l t ; / a : K e y & g t ; & l t ; a : V a l u e   i : t y p e = " D i a g r a m D i s p l a y L i n k E n d p o i n t V i e w S t a t e " & g t ; & l t ; H e i g h t & g t ; 1 6 & l t ; / H e i g h t & g t ; & l t ; L a b e l L o c a t i o n   x m l n s : b = " h t t p : / / s c h e m a s . d a t a c o n t r a c t . o r g / 2 0 0 4 / 0 7 / S y s t e m . W i n d o w s " & g t ; & l t ; b : _ x & g t ; 2 8 7 . 6 1 5 2 4 2 & l t ; / b : _ x & g t ; & l t ; b : _ y & g t ; 1 4 9 . 9 9 9 9 9 9 9 9 9 9 9 9 9 4 & l t ; / b : _ y & g t ; & l t ; / L a b e l L o c a t i o n & g t ; & l t ; L o c a t i o n   x m l n s : b = " h t t p : / / s c h e m a s . d a t a c o n t r a c t . o r g / 2 0 0 4 / 0 7 / S y s t e m . W i n d o w s " & g t ; & l t ; b : _ x & g t ; 2 9 5 . 6 1 5 2 4 1 9 9 9 9 9 9 9 7 & l t ; / b : _ x & g t ; & l t ; b : _ y & g t ; 1 5 0 & l t ; / b : _ y & g t ; & l t ; / L o c a t i o n & g t ; & l t ; S h a p e R o t a t e A n g l e & g t ; 8 9 . 9 9 9 9 9 9 9 9 9 9 9 9 8 & l t ; / S h a p e R o t a t e A n g l e & g t ; & l t ; W i d t h & g t ; 1 6 & l t ; / W i d t h & g t ; & l t ; / a : V a l u e & g t ; & l t ; / a : K e y V a l u e O f D i a g r a m O b j e c t K e y a n y T y p e z b w N T n L X & g t ; & l t ; a : K e y V a l u e O f D i a g r a m O b j e c t K e y a n y T y p e z b w N T n L X & g t ; & l t ; a : K e y & g t ; & l t ; K e y & g t ; R e l a t i o n s h i p s \ & a m p ; l t ; T a b l e s \ f a c t _ t a b l e \ C o l u m n s \ S a l e s   P e r s o n   I D & a m p ; g t ; - & a m p ; l t ; T a b l e s \ s a l e s _ p e r s o n s _ t a b l e \ C o l u m n s \ S a l e s   P e r s o n   I D & a m p ; g t ; \ C r o s s F i l t e r & l t ; / K e y & g t ; & l t ; / a : K e y & g t ; & l t ; a : V a l u e   i : t y p e = " D i a g r a m D i s p l a y L i n k C r o s s F i l t e r V i e w S t a t e " & g t ; & l t ; P o i n t s   x m l n s : b = " h t t p : / / s c h e m a s . d a t a c o n t r a c t . o r g / 2 0 0 4 / 0 7 / S y s t e m . W i n d o w s " & g t ; & l t ; b : P o i n t & g t ; & l t ; b : _ x & g t ; 4 0 2 . 9 0 3 8 1 0 5 6 7 6 6 5 8 6 & l t ; / b : _ x & g t ; & l t ; b : _ y & g t ; 3 1 9 & l t ; / b : _ y & g t ; & l t ; / b : P o i n t & g t ; & l t ; b : P o i n t & g t ; & l t ; b : _ x & g t ; 2 9 7 . 6 1 5 2 4 1 9 9 9 9 9 9 9 7 & l t ; / b : _ x & g t ; & l t ; b : _ y & g t ; 3 1 9 & l t ; / b : _ y & g t ; & l t ; / b : P o i n t & g t ; & l t ; b : P o i n t & g t ; & l t ; b : _ x & g t ; 2 9 5 . 6 1 5 2 4 1 9 9 9 9 9 9 9 7 & l t ; / b : _ x & g t ; & l t ; b : _ y & g t ; 3 1 7 & l t ; / b : _ y & g t ; & l t ; / b : P o i n t & g t ; & l t ; b : P o i n t & g t ; & l t ; b : _ x & g t ; 2 9 5 . 6 1 5 2 4 2 & l t ; / b : _ x & g t ; & l t ; b : _ y & g t ; 1 6 5 . 9 9 9 9 9 9 9 9 9 9 9 9 9 4 & l t ; / b : _ y & g t ; & l t ; / b : P o i n t & g t ; & l t ; / P o i n t s & g t ; & l t ; / a : V a l u e & g t ; & l t ; / a : K e y V a l u e O f D i a g r a m O b j e c t K e y a n y T y p e z b w N T n L X & g t ; & l t ; a : K e y V a l u e O f D i a g r a m O b j e c t K e y a n y T y p e z b w N T n L X & g t ; & l t ; a : K e y & g t ; & l t ; K e y & g t ; R e l a t i o n s h i p s \ & a m p ; l t ; T a b l e s \ f a c t _ t a b l e \ C o l u m n s \ O r d e r   D a t e & a m p ; g t ; - & a m p ; l t ; T a b l e s \ D a t e \ C o l u m n s \ O r d e r   D a t e & a m p ; g t ; & l t ; / K e y & g t ; & l t ; / a : K e y & g t ; & l t ; a : V a l u e   i : t y p e = " D i a g r a m D i s p l a y L i n k V i e w S t a t e " & g t ; & l t ; A u t o m a t i o n P r o p e r t y H e l p e r T e x t & g t ; E n d   p o i n t   1 :   ( 6 3 4 . 9 0 3 8 1 0 5 6 7 6 6 6 , 3 1 9 . 5 ) .   E n d   p o i n t   2 :   ( 7 2 5 . 9 4 8 5 7 6 , 1 7 2 )   & l t ; / A u t o m a t i o n P r o p e r t y H e l p e r T e x t & g t ; & l t ; L a y e d O u t & g t ; t r u e & l t ; / L a y e d O u t & g t ; & l t ; P o i n t s   x m l n s : b = " h t t p : / / s c h e m a s . d a t a c o n t r a c t . o r g / 2 0 0 4 / 0 7 / S y s t e m . W i n d o w s " & g t ; & l t ; b : P o i n t & g t ; & l t ; b : _ x & g t ; 6 3 4 . 9 0 3 8 1 0 5 6 7 6 6 5 8 & l t ; / b : _ x & g t ; & l t ; b : _ y & g t ; 3 1 9 . 5 & l t ; / b : _ y & g t ; & l t ; / b : P o i n t & g t ; & l t ; b : P o i n t & g t ; & l t ; b : _ x & g t ; 6 3 5 . 1 8 6 6 5 2 8 4 3 2 6 & l t ; / b : _ x & g t ; & l t ; b : _ y & g t ; 3 1 9 . 5 & l t ; / b : _ y & g t ; & l t ; / b : P o i n t & g t ; & l t ; b : P o i n t & g t ; & l t ; b : _ x & g t ; 6 3 7 . 1 8 6 6 5 2 8 4 3 2 6 & l t ; / b : _ x & g t ; & l t ; b : _ y & g t ; 3 1 7 . 5 & l t ; / b : _ y & g t ; & l t ; / b : P o i n t & g t ; & l t ; b : P o i n t & g t ; & l t ; b : _ x & g t ; 6 3 7 . 1 8 6 6 5 2 8 4 3 2 6 & l t ; / b : _ x & g t ; & l t ; b : _ y & g t ; 2 3 7 . 5 & l t ; / b : _ y & g t ; & l t ; / b : P o i n t & g t ; & l t ; b : P o i n t & g t ; & l t ; b : _ x & g t ; 6 3 9 . 1 8 6 6 5 2 8 4 3 2 6 & l t ; / b : _ x & g t ; & l t ; b : _ y & g t ; 2 3 5 . 5 & l t ; / b : _ y & g t ; & l t ; / b : P o i n t & g t ; & l t ; b : P o i n t & g t ; & l t ; b : _ x & g t ; 7 2 3 . 9 4 8 5 7 6 & l t ; / b : _ x & g t ; & l t ; b : _ y & g t ; 2 3 5 . 5 & l t ; / b : _ y & g t ; & l t ; / b : P o i n t & g t ; & l t ; b : P o i n t & g t ; & l t ; b : _ x & g t ; 7 2 5 . 9 4 8 5 7 6 & l t ; / b : _ x & g t ; & l t ; b : _ y & g t ; 2 3 3 . 5 & l t ; / b : _ y & g t ; & l t ; / b : P o i n t & g t ; & l t ; b : P o i n t & g t ; & l t ; b : _ x & g t ; 7 2 5 . 9 4 8 5 7 6 & l t ; / b : _ x & g t ; & l t ; b : _ y & g t ; 1 7 1 . 9 9 9 9 9 9 9 9 9 9 9 9 9 4 & l t ; / b : _ y & g t ; & l t ; / b : P o i n t & g t ; & l t ; / P o i n t s & g t ; & l t ; / a : V a l u e & g t ; & l t ; / a : K e y V a l u e O f D i a g r a m O b j e c t K e y a n y T y p e z b w N T n L X & g t ; & l t ; a : K e y V a l u e O f D i a g r a m O b j e c t K e y a n y T y p e z b w N T n L X & g t ; & l t ; a : K e y & g t ; & l t ; K e y & g t ; R e l a t i o n s h i p s \ & a m p ; l t ; T a b l e s \ f a c t _ t a b l e \ C o l u m n s \ O r d e r   D a t e & a m p ; g t ; - & a m p ; l t ; T a b l e s \ D a t e \ C o l u m n s \ O r d e r   D a t e & a m p ; g t ; \ F K & l t ; / K e y & g t ; & l t ; / a : K e y & g t ; & l t ; a : V a l u e   i : t y p e = " D i a g r a m D i s p l a y L i n k E n d p o i n t V i e w S t a t e " & g t ; & l t ; H e i g h t & g t ; 1 6 & l t ; / H e i g h t & g t ; & l t ; L a b e l L o c a t i o n   x m l n s : b = " h t t p : / / s c h e m a s . d a t a c o n t r a c t . o r g / 2 0 0 4 / 0 7 / S y s t e m . W i n d o w s " & g t ; & l t ; b : _ x & g t ; 6 1 8 . 9 0 3 8 1 0 5 6 7 6 6 5 8 & l t ; / b : _ x & g t ; & l t ; b : _ y & g t ; 3 1 1 . 5 & l t ; / b : _ y & g t ; & l t ; / L a b e l L o c a t i o n & g t ; & l t ; L o c a t i o n   x m l n s : b = " h t t p : / / s c h e m a s . d a t a c o n t r a c t . o r g / 2 0 0 4 / 0 7 / S y s t e m . W i n d o w s " & g t ; & l t ; b : _ x & g t ; 6 1 8 . 9 0 3 8 1 0 5 6 7 6 6 5 8 & l t ; / b : _ x & g t ; & l t ; b : _ y & g t ; 3 1 9 . 5 & l t ; / b : _ y & g t ; & l t ; / L o c a t i o n & g t ; & l t ; S h a p e R o t a t e A n g l e & g t ; 3 6 0 & l t ; / S h a p e R o t a t e A n g l e & g t ; & l t ; W i d t h & g t ; 1 6 & l t ; / W i d t h & g t ; & l t ; / a : V a l u e & g t ; & l t ; / a : K e y V a l u e O f D i a g r a m O b j e c t K e y a n y T y p e z b w N T n L X & g t ; & l t ; a : K e y V a l u e O f D i a g r a m O b j e c t K e y a n y T y p e z b w N T n L X & g t ; & l t ; a : K e y & g t ; & l t ; K e y & g t ; R e l a t i o n s h i p s \ & a m p ; l t ; T a b l e s \ f a c t _ t a b l e \ C o l u m n s \ O r d e r   D a t e & a m p ; g t ; - & a m p ; l t ; T a b l e s \ D a t e \ C o l u m n s \ O r d e r   D a t e & a m p ; g t ; \ P K & l t ; / K e y & g t ; & l t ; / a : K e y & g t ; & l t ; a : V a l u e   i : t y p e = " D i a g r a m D i s p l a y L i n k E n d p o i n t V i e w S t a t e " & g t ; & l t ; H e i g h t & g t ; 1 6 & l t ; / H e i g h t & g t ; & l t ; L a b e l L o c a t i o n   x m l n s : b = " h t t p : / / s c h e m a s . d a t a c o n t r a c t . o r g / 2 0 0 4 / 0 7 / S y s t e m . W i n d o w s " & g t ; & l t ; b : _ x & g t ; 7 1 7 . 9 4 8 5 7 6 & l t ; / b : _ x & g t ; & l t ; b : _ y & g t ; 1 5 5 . 9 9 9 9 9 9 9 9 9 9 9 9 9 4 & l t ; / b : _ y & g t ; & l t ; / L a b e l L o c a t i o n & g t ; & l t ; L o c a t i o n   x m l n s : b = " h t t p : / / s c h e m a s . d a t a c o n t r a c t . o r g / 2 0 0 4 / 0 7 / S y s t e m . W i n d o w s " & g t ; & l t ; b : _ x & g t ; 7 2 5 . 9 4 8 5 7 6 & l t ; / b : _ x & g t ; & l t ; b : _ y & g t ; 1 5 5 . 9 9 9 9 9 9 9 9 9 9 9 9 8 9 & l t ; / b : _ y & g t ; & l t ; / L o c a t i o n & g t ; & l t ; S h a p e R o t a t e A n g l e & g t ; 9 0 & l t ; / S h a p e R o t a t e A n g l e & g t ; & l t ; W i d t h & g t ; 1 6 & l t ; / W i d t h & g t ; & l t ; / a : V a l u e & g t ; & l t ; / a : K e y V a l u e O f D i a g r a m O b j e c t K e y a n y T y p e z b w N T n L X & g t ; & l t ; a : K e y V a l u e O f D i a g r a m O b j e c t K e y a n y T y p e z b w N T n L X & g t ; & l t ; a : K e y & g t ; & l t ; K e y & g t ; R e l a t i o n s h i p s \ & a m p ; l t ; T a b l e s \ f a c t _ t a b l e \ C o l u m n s \ O r d e r   D a t e & a m p ; g t ; - & a m p ; l t ; T a b l e s \ D a t e \ C o l u m n s \ O r d e r   D a t e & a m p ; g t ; \ C r o s s F i l t e r & l t ; / K e y & g t ; & l t ; / a : K e y & g t ; & l t ; a : V a l u e   i : t y p e = " D i a g r a m D i s p l a y L i n k C r o s s F i l t e r V i e w S t a t e " & g t ; & l t ; P o i n t s   x m l n s : b = " h t t p : / / s c h e m a s . d a t a c o n t r a c t . o r g / 2 0 0 4 / 0 7 / S y s t e m . W i n d o w s " & g t ; & l t ; b : P o i n t & g t ; & l t ; b : _ x & g t ; 6 3 4 . 9 0 3 8 1 0 5 6 7 6 6 5 8 & l t ; / b : _ x & g t ; & l t ; b : _ y & g t ; 3 1 9 . 5 & l t ; / b : _ y & g t ; & l t ; / b : P o i n t & g t ; & l t ; b : P o i n t & g t ; & l t ; b : _ x & g t ; 6 3 5 . 1 8 6 6 5 2 8 4 3 2 6 & l t ; / b : _ x & g t ; & l t ; b : _ y & g t ; 3 1 9 . 5 & l t ; / b : _ y & g t ; & l t ; / b : P o i n t & g t ; & l t ; b : P o i n t & g t ; & l t ; b : _ x & g t ; 6 3 7 . 1 8 6 6 5 2 8 4 3 2 6 & l t ; / b : _ x & g t ; & l t ; b : _ y & g t ; 3 1 7 . 5 & l t ; / b : _ y & g t ; & l t ; / b : P o i n t & g t ; & l t ; b : P o i n t & g t ; & l t ; b : _ x & g t ; 6 3 7 . 1 8 6 6 5 2 8 4 3 2 6 & l t ; / b : _ x & g t ; & l t ; b : _ y & g t ; 2 3 7 . 5 & l t ; / b : _ y & g t ; & l t ; / b : P o i n t & g t ; & l t ; b : P o i n t & g t ; & l t ; b : _ x & g t ; 6 3 9 . 1 8 6 6 5 2 8 4 3 2 6 & l t ; / b : _ x & g t ; & l t ; b : _ y & g t ; 2 3 5 . 5 & l t ; / b : _ y & g t ; & l t ; / b : P o i n t & g t ; & l t ; b : P o i n t & g t ; & l t ; b : _ x & g t ; 7 2 3 . 9 4 8 5 7 6 & l t ; / b : _ x & g t ; & l t ; b : _ y & g t ; 2 3 5 . 5 & l t ; / b : _ y & g t ; & l t ; / b : P o i n t & g t ; & l t ; b : P o i n t & g t ; & l t ; b : _ x & g t ; 7 2 5 . 9 4 8 5 7 6 & l t ; / b : _ x & g t ; & l t ; b : _ y & g t ; 2 3 3 . 5 & l t ; / b : _ y & g t ; & l t ; / b : P o i n t & g t ; & l t ; b : P o i n t & g t ; & l t ; b : _ x & g t ; 7 2 5 . 9 4 8 5 7 6 & l t ; / b : _ x & g t ; & l t ; b : _ y & g t ; 1 7 1 . 9 9 9 9 9 9 9 9 9 9 9 9 9 4 & l t ; / b : _ y & g t ; & l t ; / b : P o i n t & g t ; & l t ; / P o i n t s & g t ; & l t ; / a : V a l u e & g t ; & l t ; / a : K e y V a l u e O f D i a g r a m O b j e c t K e y a n y T y p e z b w N T n L X & g t ; & l t ; a : K e y V a l u e O f D i a g r a m O b j e c t K e y a n y T y p e z b w N T n L X & g t ; & l t ; a : K e y & g t ; & l t ; K e y & g t ; R e l a t i o n s h i p s \ & a m p ; l t ; T a b l e s \ m o n t h l y _ s t o r e _ t a r g e t s \ C o l u m n s \ D a t e & a m p ; g t ; - & a m p ; l t ; T a b l e s \ D a t e \ C o l u m n s \ O r d e r   D a t e & a m p ; g t ; & l t ; / K e y & g t ; & l t ; / a : K e y & g t ; & l t ; a : V a l u e   i : t y p e = " D i a g r a m D i s p l a y L i n k V i e w S t a t e " & g t ; & l t ; A u t o m a t i o n P r o p e r t y H e l p e r T e x t & g t ; E n d   p o i n t   1 :   ( 7 6 5 . 9 4 8 5 7 6 , 2 3 9 ) .   E n d   p o i n t   2 :   ( 7 4 5 . 9 4 8 5 7 6 , 1 7 2 )   & l t ; / A u t o m a t i o n P r o p e r t y H e l p e r T e x t & g t ; & l t ; L a y e d O u t & g t ; t r u e & l t ; / L a y e d O u t & g t ; & l t ; P o i n t s   x m l n s : b = " h t t p : / / s c h e m a s . d a t a c o n t r a c t . o r g / 2 0 0 4 / 0 7 / S y s t e m . W i n d o w s " & g t ; & l t ; b : P o i n t & g t ; & l t ; b : _ x & g t ; 7 6 5 . 9 4 8 5 7 6 & l t ; / b : _ x & g t ; & l t ; b : _ y & g t ; 2 3 9 & l t ; / b : _ y & g t ; & l t ; / b : P o i n t & g t ; & l t ; b : P o i n t & g t ; & l t ; b : _ x & g t ; 7 6 5 . 9 4 8 5 7 6 & l t ; / b : _ x & g t ; & l t ; b : _ y & g t ; 2 0 7 . 5 & l t ; / b : _ y & g t ; & l t ; / b : P o i n t & g t ; & l t ; b : P o i n t & g t ; & l t ; b : _ x & g t ; 7 6 3 . 9 4 8 5 7 6 & l t ; / b : _ x & g t ; & l t ; b : _ y & g t ; 2 0 5 . 5 & l t ; / b : _ y & g t ; & l t ; / b : P o i n t & g t ; & l t ; b : P o i n t & g t ; & l t ; b : _ x & g t ; 7 4 7 . 9 4 8 5 7 6 & l t ; / b : _ x & g t ; & l t ; b : _ y & g t ; 2 0 5 . 5 & l t ; / b : _ y & g t ; & l t ; / b : P o i n t & g t ; & l t ; b : P o i n t & g t ; & l t ; b : _ x & g t ; 7 4 5 . 9 4 8 5 7 6 & l t ; / b : _ x & g t ; & l t ; b : _ y & g t ; 2 0 3 . 5 & l t ; / b : _ y & g t ; & l t ; / b : P o i n t & g t ; & l t ; b : P o i n t & g t ; & l t ; b : _ x & g t ; 7 4 5 . 9 4 8 5 7 6 & l t ; / b : _ x & g t ; & l t ; b : _ y & g t ; 1 7 2 . 0 0 0 0 0 0 0 0 0 0 0 0 0 3 & l t ; / b : _ y & g t ; & l t ; / b : P o i n t & g t ; & l t ; / P o i n t s & g t ; & l t ; / a : V a l u e & g t ; & l t ; / a : K e y V a l u e O f D i a g r a m O b j e c t K e y a n y T y p e z b w N T n L X & g t ; & l t ; a : K e y V a l u e O f D i a g r a m O b j e c t K e y a n y T y p e z b w N T n L X & g t ; & l t ; a : K e y & g t ; & l t ; K e y & g t ; R e l a t i o n s h i p s \ & a m p ; l t ; T a b l e s \ m o n t h l y _ s t o r e _ t a r g e t s \ C o l u m n s \ D a t e & a m p ; g t ; - & a m p ; l t ; T a b l e s \ D a t e \ C o l u m n s \ O r d e r   D a t e & a m p ; g t ; \ F K & l t ; / K e y & g t ; & l t ; / a : K e y & g t ; & l t ; a : V a l u e   i : t y p e = " D i a g r a m D i s p l a y L i n k E n d p o i n t V i e w S t a t e " & g t ; & l t ; H e i g h t & g t ; 1 6 & l t ; / H e i g h t & g t ; & l t ; L a b e l L o c a t i o n   x m l n s : b = " h t t p : / / s c h e m a s . d a t a c o n t r a c t . o r g / 2 0 0 4 / 0 7 / S y s t e m . W i n d o w s " & g t ; & l t ; b : _ x & g t ; 7 5 7 . 9 4 8 5 7 6 & l t ; / b : _ x & g t ; & l t ; b : _ y & g t ; 2 3 9 & l t ; / b : _ y & g t ; & l t ; / L a b e l L o c a t i o n & g t ; & l t ; L o c a t i o n   x m l n s : b = " h t t p : / / s c h e m a s . d a t a c o n t r a c t . o r g / 2 0 0 4 / 0 7 / S y s t e m . W i n d o w s " & g t ; & l t ; b : _ x & g t ; 7 6 5 . 9 4 8 5 7 6 & l t ; / b : _ x & g t ; & l t ; b : _ y & g t ; 2 5 5 & l t ; / b : _ y & g t ; & l t ; / L o c a t i o n & g t ; & l t ; S h a p e R o t a t e A n g l e & g t ; 2 7 0 & l t ; / S h a p e R o t a t e A n g l e & g t ; & l t ; W i d t h & g t ; 1 6 & l t ; / W i d t h & g t ; & l t ; / a : V a l u e & g t ; & l t ; / a : K e y V a l u e O f D i a g r a m O b j e c t K e y a n y T y p e z b w N T n L X & g t ; & l t ; a : K e y V a l u e O f D i a g r a m O b j e c t K e y a n y T y p e z b w N T n L X & g t ; & l t ; a : K e y & g t ; & l t ; K e y & g t ; R e l a t i o n s h i p s \ & a m p ; l t ; T a b l e s \ m o n t h l y _ s t o r e _ t a r g e t s \ C o l u m n s \ D a t e & a m p ; g t ; - & a m p ; l t ; T a b l e s \ D a t e \ C o l u m n s \ O r d e r   D a t e & a m p ; g t ; \ P K & l t ; / K e y & g t ; & l t ; / a : K e y & g t ; & l t ; a : V a l u e   i : t y p e = " D i a g r a m D i s p l a y L i n k E n d p o i n t V i e w S t a t e " & g t ; & l t ; H e i g h t & g t ; 1 6 & l t ; / H e i g h t & g t ; & l t ; L a b e l L o c a t i o n   x m l n s : b = " h t t p : / / s c h e m a s . d a t a c o n t r a c t . o r g / 2 0 0 4 / 0 7 / S y s t e m . W i n d o w s " & g t ; & l t ; b : _ x & g t ; 7 3 7 . 9 4 8 5 7 6 & l t ; / b : _ x & g t ; & l t ; b : _ y & g t ; 1 5 6 . 0 0 0 0 0 0 0 0 0 0 0 0 0 3 & l t ; / b : _ y & g t ; & l t ; / L a b e l L o c a t i o n & g t ; & l t ; L o c a t i o n   x m l n s : b = " h t t p : / / s c h e m a s . d a t a c o n t r a c t . o r g / 2 0 0 4 / 0 7 / S y s t e m . W i n d o w s " & g t ; & l t ; b : _ x & g t ; 7 4 5 . 9 4 8 5 7 6 & l t ; / b : _ x & g t ; & l t ; b : _ y & g t ; 1 5 6 . 0 0 0 0 0 0 0 0 0 0 0 0 0 3 & l t ; / b : _ y & g t ; & l t ; / L o c a t i o n & g t ; & l t ; S h a p e R o t a t e A n g l e & g t ; 9 0 & l t ; / S h a p e R o t a t e A n g l e & g t ; & l t ; W i d t h & g t ; 1 6 & l t ; / W i d t h & g t ; & l t ; / a : V a l u e & g t ; & l t ; / a : K e y V a l u e O f D i a g r a m O b j e c t K e y a n y T y p e z b w N T n L X & g t ; & l t ; a : K e y V a l u e O f D i a g r a m O b j e c t K e y a n y T y p e z b w N T n L X & g t ; & l t ; a : K e y & g t ; & l t ; K e y & g t ; R e l a t i o n s h i p s \ & a m p ; l t ; T a b l e s \ m o n t h l y _ s t o r e _ t a r g e t s \ C o l u m n s \ D a t e & a m p ; g t ; - & a m p ; l t ; T a b l e s \ D a t e \ C o l u m n s \ O r d e r   D a t e & a m p ; g t ; \ C r o s s F i l t e r & l t ; / K e y & g t ; & l t ; / a : K e y & g t ; & l t ; a : V a l u e   i : t y p e = " D i a g r a m D i s p l a y L i n k C r o s s F i l t e r V i e w S t a t e " & g t ; & l t ; P o i n t s   x m l n s : b = " h t t p : / / s c h e m a s . d a t a c o n t r a c t . o r g / 2 0 0 4 / 0 7 / S y s t e m . W i n d o w s " & g t ; & l t ; b : P o i n t & g t ; & l t ; b : _ x & g t ; 7 6 5 . 9 4 8 5 7 6 & l t ; / b : _ x & g t ; & l t ; b : _ y & g t ; 2 3 9 & l t ; / b : _ y & g t ; & l t ; / b : P o i n t & g t ; & l t ; b : P o i n t & g t ; & l t ; b : _ x & g t ; 7 6 5 . 9 4 8 5 7 6 & l t ; / b : _ x & g t ; & l t ; b : _ y & g t ; 2 0 7 . 5 & l t ; / b : _ y & g t ; & l t ; / b : P o i n t & g t ; & l t ; b : P o i n t & g t ; & l t ; b : _ x & g t ; 7 6 3 . 9 4 8 5 7 6 & l t ; / b : _ x & g t ; & l t ; b : _ y & g t ; 2 0 5 . 5 & l t ; / b : _ y & g t ; & l t ; / b : P o i n t & g t ; & l t ; b : P o i n t & g t ; & l t ; b : _ x & g t ; 7 4 7 . 9 4 8 5 7 6 & l t ; / b : _ x & g t ; & l t ; b : _ y & g t ; 2 0 5 . 5 & l t ; / b : _ y & g t ; & l t ; / b : P o i n t & g t ; & l t ; b : P o i n t & g t ; & l t ; b : _ x & g t ; 7 4 5 . 9 4 8 5 7 6 & l t ; / b : _ x & g t ; & l t ; b : _ y & g t ; 2 0 3 . 5 & l t ; / b : _ y & g t ; & l t ; / b : P o i n t & g t ; & l t ; b : P o i n t & g t ; & l t ; b : _ x & g t ; 7 4 5 . 9 4 8 5 7 6 & l t ; / b : _ x & g t ; & l t ; b : _ y & g t ; 1 7 2 . 0 0 0 0 0 0 0 0 0 0 0 0 0 3 & l t ; / b : _ y & g t ; & l t ; / b : P o i n t & g t ; & l t ; / P o i n t s & g t ; & l t ; / a : V a l u e & g t ; & l t ; / a : K e y V a l u e O f D i a g r a m O b j e c t K e y a n y T y p e z b w N T n L X & g t ; & l t ; a : K e y V a l u e O f D i a g r a m O b j e c t K e y a n y T y p e z b w N T n L X & g t ; & l t ; a : K e y & g t ; & l t ; K e y & g t ; R e l a t i o n s h i p s \ & a m p ; l t ; T a b l e s \ m o n t h l y _ s t o r e _ t a r g e t s \ C o l u m n s \ S t o r e   I D & a m p ; g t ; - & a m p ; l t ; T a b l e s \ s a l e s _ p e r s o n s _ t a b l e \ C o l u m n s \ S a l e s   P e r s o n   I D & a m p ; g t ; & l t ; / K e y & g t ; & l t ; / a : K e y & g t ; & l t ; a : V a l u e   i : t y p e = " D i a g r a m D i s p l a y L i n k V i e w S t a t e " & g t ; & l t ; A u t o m a t i o n P r o p e r t y H e l p e r T e x t & g t ; E n d   p o i n t   1 :   ( 6 3 6 . 8 0 7 6 2 1 1 3 5 3 3 2 , 3 3 9 . 5 ) .   E n d   p o i n t   2 :   ( 3 1 5 . 6 1 5 2 4 2 , 1 6 6 )   & l t ; / A u t o m a t i o n P r o p e r t y H e l p e r T e x t & g t ; & l t ; I s F o c u s e d & g t ; t r u e & l t ; / I s F o c u s e d & g t ; & l t ; L a y e d O u t & g t ; t r u e & l t ; / L a y e d O u t & g t ; & l t ; P o i n t s   x m l n s : b = " h t t p : / / s c h e m a s . d a t a c o n t r a c t . o r g / 2 0 0 4 / 0 7 / S y s t e m . W i n d o w s " & g t ; & l t ; b : P o i n t & g t ; & l t ; b : _ x & g t ; 6 3 6 . 8 0 7 6 2 1 1 3 5 3 3 1 6 & l t ; / b : _ x & g t ; & l t ; b : _ y & g t ; 3 3 9 . 5 & l t ; / b : _ y & g t ; & l t ; / b : P o i n t & g t ; & l t ; b : P o i n t & g t ; & l t ; b : _ x & g t ; 6 3 6 . 5 2 4 7 7 9 1 5 6 7 4 & l t ; / b : _ x & g t ; & l t ; b : _ y & g t ; 3 3 9 . 5 & l t ; / b : _ y & g t ; & l t ; / b : P o i n t & g t ; & l t ; b : P o i n t & g t ; & l t ; b : _ x & g t ; 6 3 4 . 5 2 4 7 7 9 1 5 6 7 4 & l t ; / b : _ x & g t ; & l t ; b : _ y & g t ; 3 3 7 . 5 & l t ; / b : _ y & g t ; & l t ; / b : P o i n t & g t ; & l t ; b : P o i n t & g t ; & l t ; b : _ x & g t ; 6 3 4 . 5 2 4 7 7 9 1 5 6 7 4 & l t ; / b : _ x & g t ; & l t ; b : _ y & g t ; 2 2 1 . 5 & l t ; / b : _ y & g t ; & l t ; / b : P o i n t & g t ; & l t ; b : P o i n t & g t ; & l t ; b : _ x & g t ; 6 3 2 . 5 2 4 7 7 9 1 5 6 7 4 & l t ; / b : _ x & g t ; & l t ; b : _ y & g t ; 2 1 9 . 5 & l t ; / b : _ y & g t ; & l t ; / b : P o i n t & g t ; & l t ; b : P o i n t & g t ; & l t ; b : _ x & g t ; 3 1 7 . 6 1 5 2 4 1 9 9 9 9 9 9 9 7 & l t ; / b : _ x & g t ; & l t ; b : _ y & g t ; 2 1 9 . 5 & l t ; / b : _ y & g t ; & l t ; / b : P o i n t & g t ; & l t ; b : P o i n t & g t ; & l t ; b : _ x & g t ; 3 1 5 . 6 1 5 2 4 1 9 9 9 9 9 9 9 7 & l t ; / b : _ x & g t ; & l t ; b : _ y & g t ; 2 1 7 . 5 & l t ; / b : _ y & g t ; & l t ; / b : P o i n t & g t ; & l t ; b : P o i n t & g t ; & l t ; b : _ x & g t ; 3 1 5 . 6 1 5 2 4 1 9 9 9 9 9 9 9 7 & l t ; / b : _ x & g t ; & l t ; b : _ y & g t ; 1 6 6 . 0 0 0 0 0 0 0 0 0 0 0 0 1 1 & l t ; / b : _ y & g t ; & l t ; / b : P o i n t & g t ; & l t ; / P o i n t s & g t ; & l t ; / a : V a l u e & g t ; & l t ; / a : K e y V a l u e O f D i a g r a m O b j e c t K e y a n y T y p e z b w N T n L X & g t ; & l t ; a : K e y V a l u e O f D i a g r a m O b j e c t K e y a n y T y p e z b w N T n L X & g t ; & l t ; a : K e y & g t ; & l t ; K e y & g t ; R e l a t i o n s h i p s \ & a m p ; l t ; T a b l e s \ m o n t h l y _ s t o r e _ t a r g e t s \ C o l u m n s \ S t o r e   I D & a m p ; g t ; - & a m p ; l t ; T a b l e s \ s a l e s _ p e r s o n s _ t a b l e \ C o l u m n s \ S a l e s   P e r s o n   I D & a m p ; g t ; \ F K & l t ; / K e y & g t ; & l t ; / a : K e y & g t ; & l t ; a : V a l u e   i : t y p e = " D i a g r a m D i s p l a y L i n k E n d p o i n t V i e w S t a t e " & g t ; & l t ; H e i g h t & g t ; 1 6 & l t ; / H e i g h t & g t ; & l t ; L a b e l L o c a t i o n   x m l n s : b = " h t t p : / / s c h e m a s . d a t a c o n t r a c t . o r g / 2 0 0 4 / 0 7 / S y s t e m . W i n d o w s " & g t ; & l t ; b : _ x & g t ; 6 3 6 . 8 0 7 6 2 1 1 3 5 3 3 1 6 & l t ; / b : _ x & g t ; & l t ; b : _ y & g t ; 3 3 1 . 5 & l t ; / b : _ y & g t ; & l t ; / L a b e l L o c a t i o n & g t ; & l t ; L o c a t i o n   x m l n s : b = " h t t p : / / s c h e m a s . d a t a c o n t r a c t . o r g / 2 0 0 4 / 0 7 / S y s t e m . W i n d o w s " & g t ; & l t ; b : _ x & g t ; 6 5 2 . 8 0 7 6 2 1 1 3 5 3 3 1 6 & l t ; / b : _ x & g t ; & l t ; b : _ y & g t ; 3 3 9 . 5 & l t ; / b : _ y & g t ; & l t ; / L o c a t i o n & g t ; & l t ; S h a p e R o t a t e A n g l e & g t ; 1 8 0 & l t ; / S h a p e R o t a t e A n g l e & g t ; & l t ; W i d t h & g t ; 1 6 & l t ; / W i d t h & g t ; & l t ; / a : V a l u e & g t ; & l t ; / a : K e y V a l u e O f D i a g r a m O b j e c t K e y a n y T y p e z b w N T n L X & g t ; & l t ; a : K e y V a l u e O f D i a g r a m O b j e c t K e y a n y T y p e z b w N T n L X & g t ; & l t ; a : K e y & g t ; & l t ; K e y & g t ; R e l a t i o n s h i p s \ & a m p ; l t ; T a b l e s \ m o n t h l y _ s t o r e _ t a r g e t s \ C o l u m n s \ S t o r e   I D & a m p ; g t ; - & a m p ; l t ; T a b l e s \ s a l e s _ p e r s o n s _ t a b l e \ C o l u m n s \ S a l e s   P e r s o n   I D & a m p ; g t ; \ P K & l t ; / K e y & g t ; & l t ; / a : K e y & g t ; & l t ; a : V a l u e   i : t y p e = " D i a g r a m D i s p l a y L i n k E n d p o i n t V i e w S t a t e " & g t ; & l t ; H e i g h t & g t ; 1 6 & l t ; / H e i g h t & g t ; & l t ; L a b e l L o c a t i o n   x m l n s : b = " h t t p : / / s c h e m a s . d a t a c o n t r a c t . o r g / 2 0 0 4 / 0 7 / S y s t e m . W i n d o w s " & g t ; & l t ; b : _ x & g t ; 3 0 7 . 6 1 5 2 4 1 9 9 9 9 9 9 9 7 & l t ; / b : _ x & g t ; & l t ; b : _ y & g t ; 1 5 0 . 0 0 0 0 0 0 0 0 0 0 0 0 1 1 & l t ; / b : _ y & g t ; & l t ; / L a b e l L o c a t i o n & g t ; & l t ; L o c a t i o n   x m l n s : b = " h t t p : / / s c h e m a s . d a t a c o n t r a c t . o r g / 2 0 0 4 / 0 7 / S y s t e m . W i n d o w s " & g t ; & l t ; b : _ x & g t ; 3 1 5 . 6 1 5 2 4 1 9 9 9 9 9 9 9 7 & l t ; / b : _ x & g t ; & l t ; b : _ y & g t ; 1 5 0 . 0 0 0 0 0 0 0 0 0 0 0 0 1 1 & l t ; / b : _ y & g t ; & l t ; / L o c a t i o n & g t ; & l t ; S h a p e R o t a t e A n g l e & g t ; 9 0 & l t ; / S h a p e R o t a t e A n g l e & g t ; & l t ; W i d t h & g t ; 1 6 & l t ; / W i d t h & g t ; & l t ; / a : V a l u e & g t ; & l t ; / a : K e y V a l u e O f D i a g r a m O b j e c t K e y a n y T y p e z b w N T n L X & g t ; & l t ; a : K e y V a l u e O f D i a g r a m O b j e c t K e y a n y T y p e z b w N T n L X & g t ; & l t ; a : K e y & g t ; & l t ; K e y & g t ; R e l a t i o n s h i p s \ & a m p ; l t ; T a b l e s \ m o n t h l y _ s t o r e _ t a r g e t s \ C o l u m n s \ S t o r e   I D & a m p ; g t ; - & a m p ; l t ; T a b l e s \ s a l e s _ p e r s o n s _ t a b l e \ C o l u m n s \ S a l e s   P e r s o n   I D & a m p ; g t ; \ C r o s s F i l t e r & l t ; / K e y & g t ; & l t ; / a : K e y & g t ; & l t ; a : V a l u e   i : t y p e = " D i a g r a m D i s p l a y L i n k C r o s s F i l t e r V i e w S t a t e " & g t ; & l t ; P o i n t s   x m l n s : b = " h t t p : / / s c h e m a s . d a t a c o n t r a c t . o r g / 2 0 0 4 / 0 7 / S y s t e m . W i n d o w s " & g t ; & l t ; b : P o i n t & g t ; & l t ; b : _ x & g t ; 6 3 6 . 8 0 7 6 2 1 1 3 5 3 3 1 6 & l t ; / b : _ x & g t ; & l t ; b : _ y & g t ; 3 3 9 . 5 & l t ; / b : _ y & g t ; & l t ; / b : P o i n t & g t ; & l t ; b : P o i n t & g t ; & l t ; b : _ x & g t ; 6 3 6 . 5 2 4 7 7 9 1 5 6 7 4 & l t ; / b : _ x & g t ; & l t ; b : _ y & g t ; 3 3 9 . 5 & l t ; / b : _ y & g t ; & l t ; / b : P o i n t & g t ; & l t ; b : P o i n t & g t ; & l t ; b : _ x & g t ; 6 3 4 . 5 2 4 7 7 9 1 5 6 7 4 & l t ; / b : _ x & g t ; & l t ; b : _ y & g t ; 3 3 7 . 5 & l t ; / b : _ y & g t ; & l t ; / b : P o i n t & g t ; & l t ; b : P o i n t & g t ; & l t ; b : _ x & g t ; 6 3 4 . 5 2 4 7 7 9 1 5 6 7 4 & l t ; / b : _ x & g t ; & l t ; b : _ y & g t ; 2 2 1 . 5 & l t ; / b : _ y & g t ; & l t ; / b : P o i n t & g t ; & l t ; b : P o i n t & g t ; & l t ; b : _ x & g t ; 6 3 2 . 5 2 4 7 7 9 1 5 6 7 4 & l t ; / b : _ x & g t ; & l t ; b : _ y & g t ; 2 1 9 . 5 & l t ; / b : _ y & g t ; & l t ; / b : P o i n t & g t ; & l t ; b : P o i n t & g t ; & l t ; b : _ x & g t ; 3 1 7 . 6 1 5 2 4 1 9 9 9 9 9 9 9 7 & l t ; / b : _ x & g t ; & l t ; b : _ y & g t ; 2 1 9 . 5 & l t ; / b : _ y & g t ; & l t ; / b : P o i n t & g t ; & l t ; b : P o i n t & g t ; & l t ; b : _ x & g t ; 3 1 5 . 6 1 5 2 4 1 9 9 9 9 9 9 9 7 & l t ; / b : _ x & g t ; & l t ; b : _ y & g t ; 2 1 7 . 5 & l t ; / b : _ y & g t ; & l t ; / b : P o i n t & g t ; & l t ; b : P o i n t & g t ; & l t ; b : _ x & g t ; 3 1 5 . 6 1 5 2 4 1 9 9 9 9 9 9 9 7 & l t ; / b : _ x & g t ; & l t ; b : _ y & g t ; 1 6 6 . 0 0 0 0 0 0 0 0 0 0 0 0 1 1 & l t ; / b : _ y & g t ; & l t ; / b : P o i n t & g t ; & l t ; / P o i n t s & g t ; & l t ; / a : V a l u e & g t ; & l t ; / a : K e y V a l u e O f D i a g r a m O b j e c t K e y a n y T y p e z b w N T n L X & g t ; & l t ; / V i e w S t a t e s & g t ; & l t ; / D i a g r a m M a n a g e r . S e r i a l i z a b l e D i a g r a m & g t ; & l t ; D i a g r a m M a n a g e r . S e r i a l i z a b l e D i a g r a m & g t ; & l t ; A d a p t e r   i : t y p e = " M e a s u r e D i a g r a m S a n d b o x A d a p t e r " & g t ; & l t ; T a b l e N a m e & g t ; C a l c u l a t i o n 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 i : t y p e = " S a n d b o x E d i t o r M e a s u r e G r i d K e y " & g t ; & l t ; T a b l e N a m e & g t ; C a l c u l a t i o n s & l t ; / T a b l e N a m e & g t ; & l t ; / K e y & g t ; & l t ; M a i n t a i n e r 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M e a s u r e 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M e a s u r e s & 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f a c t _ 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 i : t y p e = " S a n d b o x E d i t o r M e a s u r e G r i d K e y " & g t ; & l t ; T a b l e N a m e & g t ; f a c t _ t a b l e & l t ; / T a b l e N a m e & g t ; & l t ; / K e y & g t ; & l t ; M a i n t a i n e r 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 Q u a n t i t y   S o l d & l t ; / K e y & g t ; & l t ; / D i a g r a m O b j e c t K e y & g t ; & l t ; D i a g r a m O b j e c t K e y & g t ; & l t ; K e y & g t ; M e a s u r e s \ S u m   o f   Q u a n t i t y   S o l d \ T a g I n f o \ F o r m u l a & l t ; / K e y & g t ; & l t ; / D i a g r a m O b j e c t K e y & g t ; & l t ; D i a g r a m O b j e c t K e y & g t ; & l t ; K e y & g t ; M e a s u r e s \ S u m   o f   Q u a n t i t y   S o l d \ T a g I n f o \ V a l u e & l t ; / K e y & g t ; & l t ; / D i a g r a m O b j e c t K e y & g t ; & l t ; D i a g r a m O b j e c t K e y & g t ; & l t ; K e y & g t ; M e a s u r e s \ S u m   o f   Q u a n t i t y   R e t u r n e d & l t ; / K e y & g t ; & l t ; / D i a g r a m O b j e c t K e y & g t ; & l t ; D i a g r a m O b j e c t K e y & g t ; & l t ; K e y & g t ; M e a s u r e s \ S u m   o f   Q u a n t i t y   R e t u r n e d \ T a g I n f o \ F o r m u l a & l t ; / K e y & g t ; & l t ; / D i a g r a m O b j e c t K e y & g t ; & l t ; D i a g r a m O b j e c t K e y & g t ; & l t ; K e y & g t ; M e a s u r e s \ S u m   o f   Q u a n t i t y   R e t u r n e d \ T a g I n f o \ V a l u e & l t ; / K e y & g t ; & l t ; / D i a g r a m O b j e c t K e y & g t ; & l t ; D i a g r a m O b j e c t K e y & g t ; & l t ; K e y & g t ; C o l u m n s \ P r o d u c t   I D & l t ; / K e y & g t ; & l t ; / D i a g r a m O b j e c t K e y & g t ; & l t ; D i a g r a m O b j e c t K e y & g t ; & l t ; K e y & g t ; C o l u m n s \ C u s t o m e r   I D & l t ; / K e y & g t ; & l t ; / D i a g r a m O b j e c t K e y & g t ; & l t ; D i a g r a m O b j e c t K e y & g t ; & l t ; K e y & g t ; C o l u m n s \ S a l e s   P e r s o n   I D & l t ; / K e y & g t ; & l t ; / D i a g r a m O b j e c t K e y & g t ; & l t ; D i a g r a m O b j e c t K e y & g t ; & l t ; K e y & g t ; C o l u m n s \ Q u a n t i t y   S o l d & l t ; / K e y & g t ; & l t ; / D i a g r a m O b j e c t K e y & g t ; & l t ; D i a g r a m O b j e c t K e y & g t ; & l t ; K e y & g t ; C o l u m n s \ P a y m e n t   M e t h o d & l t ; / K e y & g t ; & l t ; / D i a g r a m O b j e c t K e y & g t ; & l t ; D i a g r a m O b j e c t K e y & g t ; & l t ; K e y & g t ; C o l u m n s \ Q u a n t i t y   R e t u r n e d & l t ; / K e y & g t ; & l t ; / D i a g r a m O b j e c t K e y & g t ; & l t ; D i a g r a m O b j e c t K e y & g t ; & l t ; K e y & g t ; C o l u m n s \ O r d e r   D a t e & l t ; / K e y & g t ; & l t ; / D i a g r a m O b j e c t K e y & g t ; & l t ; D i a g r a m O b j e c t K e y & g t ; & l t ; K e y & g t ; L i n k s \ & a m p ; l t ; C o l u m n s \ S u m   o f   Q u a n t i t y   S o l d & a m p ; g t ; - & a m p ; l t ; M e a s u r e s \ Q u a n t i t y   S o l d & a m p ; g t ; & l t ; / K e y & g t ; & l t ; / D i a g r a m O b j e c t K e y & g t ; & l t ; D i a g r a m O b j e c t K e y & g t ; & l t ; K e y & g t ; L i n k s \ & a m p ; l t ; C o l u m n s \ S u m   o f   Q u a n t i t y   S o l d & a m p ; g t ; - & a m p ; l t ; M e a s u r e s \ Q u a n t i t y   S o l d & a m p ; g t ; \ C O L U M N & l t ; / K e y & g t ; & l t ; / D i a g r a m O b j e c t K e y & g t ; & l t ; D i a g r a m O b j e c t K e y & g t ; & l t ; K e y & g t ; L i n k s \ & a m p ; l t ; C o l u m n s \ S u m   o f   Q u a n t i t y   S o l d & a m p ; g t ; - & a m p ; l t ; M e a s u r e s \ Q u a n t i t y   S o l d & a m p ; g t ; \ M E A S U R E & l t ; / K e y & g t ; & l t ; / D i a g r a m O b j e c t K e y & g t ; & l t ; D i a g r a m O b j e c t K e y & g t ; & l t ; K e y & g t ; L i n k s \ & a m p ; l t ; C o l u m n s \ S u m   o f   Q u a n t i t y   R e t u r n e d & a m p ; g t ; - & a m p ; l t ; M e a s u r e s \ Q u a n t i t y   R e t u r n e d & a m p ; g t ; & l t ; / K e y & g t ; & l t ; / D i a g r a m O b j e c t K e y & g t ; & l t ; D i a g r a m O b j e c t K e y & g t ; & l t ; K e y & g t ; L i n k s \ & a m p ; l t ; C o l u m n s \ S u m   o f   Q u a n t i t y   R e t u r n e d & a m p ; g t ; - & a m p ; l t ; M e a s u r e s \ Q u a n t i t y   R e t u r n e d & a m p ; g t ; \ C O L U M N & l t ; / K e y & g t ; & l t ; / D i a g r a m O b j e c t K e y & g t ; & l t ; D i a g r a m O b j e c t K e y & g t ; & l t ; K e y & g t ; L i n k s \ & a m p ; l t ; C o l u m n s \ S u m   o f   Q u a n t i t y   R e t u r n e d & a m p ; g t ; - & a m p ; l t ; M e a s u r e s \ Q u a n t i t y   R e t u r n e d & 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 Q u a n t i t y   S o l d & l t ; / K e y & g t ; & l t ; / a : K e y & g t ; & l t ; a : V a l u e   i : t y p e = " M e a s u r e G r i d N o d e V i e w S t a t e " & g t ; & l t ; C o l u m n & g t ; 3 & l t ; / C o l u m n & g t ; & l t ; L a y e d O u t & g t ; t r u e & l t ; / L a y e d O u t & g t ; & l t ; W a s U I I n v i s i b l e & g t ; t r u e & l t ; / W a s U I I n v i s i b l e & g t ; & l t ; / a : V a l u e & g t ; & l t ; / a : K e y V a l u e O f D i a g r a m O b j e c t K e y a n y T y p e z b w N T n L X & g t ; & l t ; a : K e y V a l u e O f D i a g r a m O b j e c t K e y a n y T y p e z b w N T n L X & g t ; & l t ; a : K e y & g t ; & l t ; K e y & g t ; M e a s u r e s \ S u m   o f   Q u a n t i t y   S o l d \ T a g I n f o \ F o r m u l a & l t ; / K e y & g t ; & l t ; / a : K e y & g t ; & l t ; a : V a l u e   i : t y p e = " M e a s u r e G r i d V i e w S t a t e I D i a g r a m T a g A d d i t i o n a l I n f o " / & g t ; & l t ; / a : K e y V a l u e O f D i a g r a m O b j e c t K e y a n y T y p e z b w N T n L X & g t ; & l t ; a : K e y V a l u e O f D i a g r a m O b j e c t K e y a n y T y p e z b w N T n L X & g t ; & l t ; a : K e y & g t ; & l t ; K e y & g t ; M e a s u r e s \ S u m   o f   Q u a n t i t y   S o l d \ T a g I n f o \ V a l u e & l t ; / K e y & g t ; & l t ; / a : K e y & g t ; & l t ; a : V a l u e   i : t y p e = " M e a s u r e G r i d V i e w S t a t e I D i a g r a m T a g A d d i t i o n a l I n f o " / & g t ; & l t ; / a : K e y V a l u e O f D i a g r a m O b j e c t K e y a n y T y p e z b w N T n L X & g t ; & l t ; a : K e y V a l u e O f D i a g r a m O b j e c t K e y a n y T y p e z b w N T n L X & g t ; & l t ; a : K e y & g t ; & l t ; K e y & g t ; M e a s u r e s \ S u m   o f   Q u a n t i t y   R e t u r n e d & l t ; / K e y & g t ; & l t ; / a : K e y & g t ; & l t ; a : V a l u e   i : t y p e = " M e a s u r e G r i d N o d e V i e w S t a t e " & g t ; & l t ; C o l u m n & g t ; 5 & l t ; / C o l u m n & g t ; & l t ; L a y e d O u t & g t ; t r u e & l t ; / L a y e d O u t & g t ; & l t ; W a s U I I n v i s i b l e & g t ; t r u e & l t ; / W a s U I I n v i s i b l e & g t ; & l t ; / a : V a l u e & g t ; & l t ; / a : K e y V a l u e O f D i a g r a m O b j e c t K e y a n y T y p e z b w N T n L X & g t ; & l t ; a : K e y V a l u e O f D i a g r a m O b j e c t K e y a n y T y p e z b w N T n L X & g t ; & l t ; a : K e y & g t ; & l t ; K e y & g t ; M e a s u r e s \ S u m   o f   Q u a n t i t y   R e t u r n e d \ T a g I n f o \ F o r m u l a & l t ; / K e y & g t ; & l t ; / a : K e y & g t ; & l t ; a : V a l u e   i : t y p e = " M e a s u r e G r i d V i e w S t a t e I D i a g r a m T a g A d d i t i o n a l I n f o " / & g t ; & l t ; / a : K e y V a l u e O f D i a g r a m O b j e c t K e y a n y T y p e z b w N T n L X & g t ; & l t ; a : K e y V a l u e O f D i a g r a m O b j e c t K e y a n y T y p e z b w N T n L X & g t ; & l t ; a : K e y & g t ; & l t ; K e y & g t ; M e a s u r e s \ S u m   o f   Q u a n t i t y   R e t u r n e d \ T a g I n f o \ V a l u e & l t ; / K e y & g t ; & l t ; / a : K e y & g t ; & l t ; a : V a l u e   i : t y p e = " M e a s u r e G r i d V i e w S t a t e I D i a g r a m T a g A d d i t i o n a l I n f o " / & g t ; & l t ; / a : K e y V a l u e O f D i a g r a m O b j e c t K e y a n y T y p e z b w N T n L X & g t ; & l t ; a : K e y V a l u e O f D i a g r a m O b j e c t K e y a n y T y p e z b w N T n L X & g t ; & l t ; a : K e y & g t ; & l t ; K e y & g t ; C o l u m n s \ P r o d u c t   I D & l t ; / K e y & g t ; & l t ; / a : K e y & g t ; & l t ; a : V a l u e   i : t y p e = " M e a s u r e G r i d N o d e V i e w S t a t e " & g t ; & l t ; L a y e d O u t & g t ; t r u e & l t ; / L a y e d O u t & g t ; & l t ; / a : V a l u e & g t ; & l t ; / a : K e y V a l u e O f D i a g r a m O b j e c t K e y a n y T y p e z b w N T n L X & g t ; & l t ; a : K e y V a l u e O f D i a g r a m O b j e c t K e y a n y T y p e z b w N T n L X & g t ; & l t ; a : K e y & g t ; & l t ; K e y & g t ; C o l u m n s \ C u s t o m e r   I D & l t ; / K e y & g t ; & l t ; / a : K e y & g t ; & l t ; a : V a l u e   i : t y p e = " M e a s u r e G r i d N o d e V i e w S t a t e " & g t ; & l t ; C o l u m n & g t ; 1 & l t ; / C o l u m n & g t ; & l t ; L a y e d O u t & g t ; t r u e & l t ; / L a y e d O u t & g t ; & l t ; / a : V a l u e & g t ; & l t ; / a : K e y V a l u e O f D i a g r a m O b j e c t K e y a n y T y p e z b w N T n L X & g t ; & l t ; a : K e y V a l u e O f D i a g r a m O b j e c t K e y a n y T y p e z b w N T n L X & g t ; & l t ; a : K e y & g t ; & l t ; K e y & g t ; C o l u m n s \ S a l e s   P e r s o n   I D & l t ; / K e y & g t ; & l t ; / a : K e y & g t ; & l t ; a : V a l u e   i : t y p e = " M e a s u r e G r i d N o d e V i e w S t a t e " & g t ; & l t ; C o l u m n & g t ; 2 & l t ; / C o l u m n & g t ; & l t ; L a y e d O u t & g t ; t r u e & l t ; / L a y e d O u t & g t ; & l t ; / a : V a l u e & g t ; & l t ; / a : K e y V a l u e O f D i a g r a m O b j e c t K e y a n y T y p e z b w N T n L X & g t ; & l t ; a : K e y V a l u e O f D i a g r a m O b j e c t K e y a n y T y p e z b w N T n L X & g t ; & l t ; a : K e y & g t ; & l t ; K e y & g t ; C o l u m n s \ Q u a n t i t y   S o l d & l t ; / K e y & g t ; & l t ; / a : K e y & g t ; & l t ; a : V a l u e   i : t y p e = " M e a s u r e G r i d N o d e V i e w S t a t e " & g t ; & l t ; C o l u m n & g t ; 3 & l t ; / C o l u m n & g t ; & l t ; L a y e d O u t & g t ; t r u e & l t ; / L a y e d O u t & g t ; & l t ; / a : V a l u e & g t ; & l t ; / a : K e y V a l u e O f D i a g r a m O b j e c t K e y a n y T y p e z b w N T n L X & g t ; & l t ; a : K e y V a l u e O f D i a g r a m O b j e c t K e y a n y T y p e z b w N T n L X & g t ; & l t ; a : K e y & g t ; & l t ; K e y & g t ; C o l u m n s \ P a y m e n t   M e t h o d & l t ; / K e y & g t ; & l t ; / a : K e y & g t ; & l t ; a : V a l u e   i : t y p e = " M e a s u r e G r i d N o d e V i e w S t a t e " & g t ; & l t ; C o l u m n & g t ; 4 & l t ; / C o l u m n & g t ; & l t ; L a y e d O u t & g t ; t r u e & l t ; / L a y e d O u t & g t ; & l t ; / a : V a l u e & g t ; & l t ; / a : K e y V a l u e O f D i a g r a m O b j e c t K e y a n y T y p e z b w N T n L X & g t ; & l t ; a : K e y V a l u e O f D i a g r a m O b j e c t K e y a n y T y p e z b w N T n L X & g t ; & l t ; a : K e y & g t ; & l t ; K e y & g t ; C o l u m n s \ Q u a n t i t y   R e t u r n e d & l t ; / K e y & g t ; & l t ; / a : K e y & g t ; & l t ; a : V a l u e   i : t y p e = " M e a s u r e G r i d N o d e V i e w S t a t e " & g t ; & l t ; C o l u m n & g t ; 5 & l t ; / C o l u m n & g t ; & l t ; L a y e d O u t & g t ; t r u e & l t ; / L a y e d O u t & g t ; & l t ; / a : V a l u e & g t ; & l t ; / a : K e y V a l u e O f D i a g r a m O b j e c t K e y a n y T y p e z b w N T n L X & g t ; & l t ; a : K e y V a l u e O f D i a g r a m O b j e c t K e y a n y T y p e z b w N T n L X & g t ; & l t ; a : K e y & g t ; & l t ; K e y & g t ; C o l u m n s \ O r d e r   D a t e & l t ; / K e y & g t ; & l t ; / a : K e y & g t ; & l t ; a : V a l u e   i : t y p e = " M e a s u r e G r i d N o d e V i e w S t a t e " & g t ; & l t ; C o l u m n & g t ; 6 & l t ; / C o l u m n & g t ; & l t ; L a y e d O u t & g t ; t r u e & l t ; / L a y e d O u t & g t ; & l t ; / a : V a l u e & g t ; & l t ; / a : K e y V a l u e O f D i a g r a m O b j e c t K e y a n y T y p e z b w N T n L X & g t ; & l t ; a : K e y V a l u e O f D i a g r a m O b j e c t K e y a n y T y p e z b w N T n L X & g t ; & l t ; a : K e y & g t ; & l t ; K e y & g t ; L i n k s \ & a m p ; l t ; C o l u m n s \ S u m   o f   Q u a n t i t y   S o l d & a m p ; g t ; - & a m p ; l t ; M e a s u r e s \ Q u a n t i t y   S o l d & a m p ; g t ; & l t ; / K e y & g t ; & l t ; / a : K e y & g t ; & l t ; a : V a l u e   i : t y p e = " M e a s u r e G r i d V i e w S t a t e I D i a g r a m L i n k " / & g t ; & l t ; / a : K e y V a l u e O f D i a g r a m O b j e c t K e y a n y T y p e z b w N T n L X & g t ; & l t ; a : K e y V a l u e O f D i a g r a m O b j e c t K e y a n y T y p e z b w N T n L X & g t ; & l t ; a : K e y & g t ; & l t ; K e y & g t ; L i n k s \ & a m p ; l t ; C o l u m n s \ S u m   o f   Q u a n t i t y   S o l d & a m p ; g t ; - & a m p ; l t ; M e a s u r e s \ Q u a n t i t y   S o l d & a m p ; g t ; \ C O L U M N & l t ; / K e y & g t ; & l t ; / a : K e y & g t ; & l t ; a : V a l u e   i : t y p e = " M e a s u r e G r i d V i e w S t a t e I D i a g r a m L i n k E n d p o i n t " / & g t ; & l t ; / a : K e y V a l u e O f D i a g r a m O b j e c t K e y a n y T y p e z b w N T n L X & g t ; & l t ; a : K e y V a l u e O f D i a g r a m O b j e c t K e y a n y T y p e z b w N T n L X & g t ; & l t ; a : K e y & g t ; & l t ; K e y & g t ; L i n k s \ & a m p ; l t ; C o l u m n s \ S u m   o f   Q u a n t i t y   S o l d & a m p ; g t ; - & a m p ; l t ; M e a s u r e s \ Q u a n t i t y   S o l d & a m p ; g t ; \ M E A S U R E & l t ; / K e y & g t ; & l t ; / a : K e y & g t ; & l t ; a : V a l u e   i : t y p e = " M e a s u r e G r i d V i e w S t a t e I D i a g r a m L i n k E n d p o i n t " / & g t ; & l t ; / a : K e y V a l u e O f D i a g r a m O b j e c t K e y a n y T y p e z b w N T n L X & g t ; & l t ; a : K e y V a l u e O f D i a g r a m O b j e c t K e y a n y T y p e z b w N T n L X & g t ; & l t ; a : K e y & g t ; & l t ; K e y & g t ; L i n k s \ & a m p ; l t ; C o l u m n s \ S u m   o f   Q u a n t i t y   R e t u r n e d & a m p ; g t ; - & a m p ; l t ; M e a s u r e s \ Q u a n t i t y   R e t u r n e d & a m p ; g t ; & l t ; / K e y & g t ; & l t ; / a : K e y & g t ; & l t ; a : V a l u e   i : t y p e = " M e a s u r e G r i d V i e w S t a t e I D i a g r a m L i n k " / & g t ; & l t ; / a : K e y V a l u e O f D i a g r a m O b j e c t K e y a n y T y p e z b w N T n L X & g t ; & l t ; a : K e y V a l u e O f D i a g r a m O b j e c t K e y a n y T y p e z b w N T n L X & g t ; & l t ; a : K e y & g t ; & l t ; K e y & g t ; L i n k s \ & a m p ; l t ; C o l u m n s \ S u m   o f   Q u a n t i t y   R e t u r n e d & a m p ; g t ; - & a m p ; l t ; M e a s u r e s \ Q u a n t i t y   R e t u r n e d & a m p ; g t ; \ C O L U M N & l t ; / K e y & g t ; & l t ; / a : K e y & g t ; & l t ; a : V a l u e   i : t y p e = " M e a s u r e G r i d V i e w S t a t e I D i a g r a m L i n k E n d p o i n t " / & g t ; & l t ; / a : K e y V a l u e O f D i a g r a m O b j e c t K e y a n y T y p e z b w N T n L X & g t ; & l t ; a : K e y V a l u e O f D i a g r a m O b j e c t K e y a n y T y p e z b w N T n L X & g t ; & l t ; a : K e y & g t ; & l t ; K e y & g t ; L i n k s \ & a m p ; l t ; C o l u m n s \ S u m   o f   Q u a n t i t y   R e t u r n e d & a m p ; g t ; - & a m p ; l t ; M e a s u r e s \ Q u a n t i t y   R e t u r n e d & a m p ; g t ; \ M E A S U R E & l t ; / K e y & g t ; & l t ; / a : K e y & g t ; & l t ; a : V a l u e   i : t y p e = " M e a s u r e G r i d V i e w S t a t e I D i a g r a m L i n k E n d p o i n t " / & g t ; & l t ; / a : K e y V a l u e O f D i a g r a m O b j e c t K e y a n y T y p e z b w N T n L X & g t ; & l t ; / V i e w S t a t e s & g t ; & l t ; / D i a g r a m M a n a g e r . S e r i a l i z a b l e D i a g r a m & g t ; & l t ; D i a g r a m M a n a g e r . S e r i a l i z a b l e D i a g r a m & g t ; & l t ; A d a p t e r   i : t y p e = " M e a s u r e D i a g r a m S a n d b o x A d a p t e r " & g t ; & l t ; T a b l e N a m e & g t ; 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  D a t e & l t ; / K e y & g t ; & l t ; / D i a g r a m O b j e c t K e y & g t ; & l t ; D i a g r a m O b j e c t K e y & g t ; & l t ; K e y & g t ; C o l u m n s \ Y e a r & l t ; / K e y & g t ; & l t ; / D i a g r a m O b j e c t K e y & g t ; & l t ; D i a g r a m O b j e c t K e y & g t ; & l t ; K e y & g t ; C o l u m n s \ M o n t h & l t ; / K e y & g t ; & l t ; / D i a g r a m O b j e c t K e y & g t ; & l t ; D i a g r a m O b j e c t K e y & g t ; & l t ; K e y & g t ; C o l u m n s \ M o n t h   N o . & l t ; / K e y & g t ; & l t ; / D i a g r a m O b j e c t K e y & g t ; & l t ; D i a g r a m O b j e c t K e y & g t ; & l t ; K e y & g t ; C o l u m n s \ D a y   N a m e & l t ; / K e y & g t ; & l t ; / D i a g r a m O b j e c t K e y & g t ; & l t ; D i a g r a m O b j e c t K e y & g t ; & l t ; K e y & g t ; C o l u m n s \ W e e k   N o & l t ; / K e y & g t ; & l t ; / D i a g r a m O b j e c t K e y & g t ; & l t ; D i a g r a m O b j e c t K e y & g t ; & l t ; K e y & g t ; C o l u m n s \ W e e k T y p e & l t ; / K e y & g t ; & l t ; / D i a g r a m O b j e c t K e y & g t ; & l t ; D i a g r a m O b j e c t K e y & g t ; & l t ; K e y & g t ; C o l u m n s \ Q u a r t 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  D a t e & l t ; / K e y & g t ; & l t ; / a : K e y & g t ; & l t ; a : V a l u e 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l t ; / K e y & g t ; & l t ; / a : K e y & g t ; & l t ; a : V a l u e   i : t y p e = " M e a s u r e G r i d N o d e V i e w S t a t e " & g t ; & l t ; C o l u m n & g t ; 2 & l t ; / C o l u m n & g t ; & l t ; L a y e d O u t & g t ; t r u e & l t ; / L a y e d O u t & g t ; & l t ; / a : V a l u e & g t ; & l t ; / a : K e y V a l u e O f D i a g r a m O b j e c t K e y a n y T y p e z b w N T n L X & g t ; & l t ; a : K e y V a l u e O f D i a g r a m O b j e c t K e y a n y T y p e z b w N T n L X & g t ; & l t ; a : K e y & g t ; & l t ; K e y & g t ; C o l u m n s \ M o n t h   N o . & l t ; / K e y & g t ; & l t ; / a : K e y & g t ; & l t ; a : V a l u e   i : t y p e = " M e a s u r e G r i d N o d e V i e w S t a t e " & g t ; & l t ; C o l u m n & g t ; 3 & l t ; / C o l u m n & g t ; & l t ; L a y e d O u t & g t ; t r u e & l t ; / L a y e d O u t & g t ; & l t ; / a : V a l u e & g t ; & l t ; / a : K e y V a l u e O f D i a g r a m O b j e c t K e y a n y T y p e z b w N T n L X & g t ; & l t ; a : K e y V a l u e O f D i a g r a m O b j e c t K e y a n y T y p e z b w N T n L X & g t ; & l t ; a : K e y & g t ; & l t ; K e y & g t ; C o l u m n s \ D a y   N a m e & l t ; / K e y & g t ; & l t ; / a : K e y & g t ; & l t ; a : V a l u e   i : t y p e = " M e a s u r e G r i d N o d e V i e w S t a t e " & g t ; & l t ; C o l u m n & g t ; 4 & l t ; / C o l u m n & g t ; & l t ; L a y e d O u t & g t ; t r u e & l t ; / L a y e d O u t & g t ; & l t ; / a : V a l u e & g t ; & l t ; / a : K e y V a l u e O f D i a g r a m O b j e c t K e y a n y T y p e z b w N T n L X & g t ; & l t ; a : K e y V a l u e O f D i a g r a m O b j e c t K e y a n y T y p e z b w N T n L X & g t ; & l t ; a : K e y & g t ; & l t ; K e y & g t ; C o l u m n s \ W e e k   N o & l t ; / K e y & g t ; & l t ; / a : K e y & g t ; & l t ; a : V a l u e   i : t y p e = " M e a s u r e G r i d N o d e V i e w S t a t e " & g t ; & l t ; C o l u m n & g t ; 5 & l t ; / C o l u m n & g t ; & l t ; L a y e d O u t & g t ; t r u e & l t ; / L a y e d O u t & g t ; & l t ; / a : V a l u e & g t ; & l t ; / a : K e y V a l u e O f D i a g r a m O b j e c t K e y a n y T y p e z b w N T n L X & g t ; & l t ; a : K e y V a l u e O f D i a g r a m O b j e c t K e y a n y T y p e z b w N T n L X & g t ; & l t ; a : K e y & g t ; & l t ; K e y & g t ; C o l u m n s \ W e e k T y p e & l t ; / K e y & g t ; & l t ; / a : K e y & g t ; & l t ; a : V a l u e   i : t y p e = " M e a s u r e G r i d N o d e V i e w S t a t e " & g t ; & l t ; C o l u m n & g t ; 6 & l t ; / C o l u m n & g t ; & l t ; L a y e d O u t & g t ; t r u e & l t ; / L a y e d O u t & g t ; & l t ; / a : V a l u e & g t ; & l t ; / a : K e y V a l u e O f D i a g r a m O b j e c t K e y a n y T y p e z b w N T n L X & g t ; & l t ; a : K e y V a l u e O f D i a g r a m O b j e c t K e y a n y T y p e z b w N T n L X & g t ; & l t ; a : K e y & g t ; & l t ; K e y & g t ; C o l u m n s \ Q u a r t e r & l t ; / K e y & g t ; & l t ; / a : K e y & g t ; & l t ; a : V a l u e   i : t y p e = " M e a s u r e G r i d N o d e V i e w S t a t e " & g t ; & l t ; C o l u m n & g t ; 7 & l t ; / C o l u m n & g t ; & l t ; L a y e d O u t & g t ; t r u e & l t ; / L a y e d O u t & g t ; & l t ; / a : V a l u e & g t ; & l t ; / a : K e y V a l u e O f D i a g r a m O b j e c t K e y a n y T y p e z b w N T n L X & g t ; & l t ; / V i e w S t a t e s & g t ; & l t ; / D i a g r a m M a n a g e r . S e r i a l i z a b l e D i a g r a m & g t ; & l t ; D i a g r a m M a n a g e r . S e r i a l i z a b l e D i a g r a m & g t ; & l t ; A d a p t e r   i : t y p e = " M e a s u r e D i a g r a m S a n d b o x A d a p t e r " & g t ; & l t ; T a b l e N a m e & g t ; c u s t o m e r s _ 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 i : t y p e = " S a n d b o x E d i t o r M e a s u r e G r i d K e y " & g t ; & l t ; T a b l e N a m e & g t ; c u s t o m e r s _ t a b l e & l t ; / T a b l e N a m e & g t ; & l t ; / K e y & g t ; & l t ; M a i n t a i n e r 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 C u s t o m e r   A g e   G r p & l t ; / K e y & g t ; & l t ; / D i a g r a m O b j e c t K e y & g t ; & l t ; D i a g r a m O b j e c t K e y & g t ; & l t ; K e y & g t ; M e a s u r e s \ C o u n t   o f   C u s t o m e r   A g e   G r p \ T a g I n f o \ F o r m u l a & l t ; / K e y & g t ; & l t ; / D i a g r a m O b j e c t K e y & g t ; & l t ; D i a g r a m O b j e c t K e y & g t ; & l t ; K e y & g t ; M e a s u r e s \ C o u n t   o f   C u s t o m e r   A g e   G r p \ T a g I n f o \ V a l u e & l t ; / K e y & g t ; & l t ; / D i a g r a m O b j e c t K e y & g t ; & l t ; D i a g r a m O b j e c t K e y & g t ; & l t ; K e y & g t ; M e a s u r e s \ S u m   o f   C u s t o m e r   A g e & l t ; / K e y & g t ; & l t ; / D i a g r a m O b j e c t K e y & g t ; & l t ; D i a g r a m O b j e c t K e y & g t ; & l t ; K e y & g t ; M e a s u r e s \ S u m   o f   C u s t o m e r   A g e \ T a g I n f o \ F o r m u l a & l t ; / K e y & g t ; & l t ; / D i a g r a m O b j e c t K e y & g t ; & l t ; D i a g r a m O b j e c t K e y & g t ; & l t ; K e y & g t ; M e a s u r e s \ S u m   o f   C u s t o m e r   A g e \ T a g I n f o \ V a l u e & l t ; / K e y & g t ; & l t ; / D i a g r a m O b j e c t K e y & g t ; & l t ; D i a g r a m O b j e c t K e y & g t ; & l t ; K e y & g t ; M e a s u r e s \ A v e r a g e   o f   C u s t o m e r   A g e & l t ; / K e y & g t ; & l t ; / D i a g r a m O b j e c t K e y & g t ; & l t ; D i a g r a m O b j e c t K e y & g t ; & l t ; K e y & g t ; M e a s u r e s \ A v e r a g e   o f   C u s t o m e r   A g e \ T a g I n f o \ F o r m u l a & l t ; / K e y & g t ; & l t ; / D i a g r a m O b j e c t K e y & g t ; & l t ; D i a g r a m O b j e c t K e y & g t ; & l t ; K e y & g t ; M e a s u r e s \ A v e r a g e   o f   C u s t o m e r   A g e \ T a g I n f o \ V a l u e & l t ; / K e y & g t ; & l t ; / D i a g r a m O b j e c t K e y & g t ; & l t ; D i a g r a m O b j e c t K e y & g t ; & l t ; K e y & g t ; C o l u m n s \ C u s t o m e r   I D & l t ; / K e y & g t ; & l t ; / D i a g r a m O b j e c t K e y & g t ; & l t ; D i a g r a m O b j e c t K e y & g t ; & l t ; K e y & g t ; C o l u m n s \ F u l l   N a m e & l t ; / K e y & g t ; & l t ; / D i a g r a m O b j e c t K e y & g t ; & l t ; D i a g r a m O b j e c t K e y & g t ; & l t ; K e y & g t ; C o l u m n s \ G e n d e r & l t ; / K e y & g t ; & l t ; / D i a g r a m O b j e c t K e y & g t ; & l t ; D i a g r a m O b j e c t K e y & g t ; & l t ; K e y & g t ; C o l u m n s \ L o c a t i o n & l t ; / K e y & g t ; & l t ; / D i a g r a m O b j e c t K e y & g t ; & l t ; D i a g r a m O b j e c t K e y & g t ; & l t ; K e y & g t ; C o l u m n s \ C u s t o m e r   A g e & l t ; / K e y & g t ; & l t ; / D i a g r a m O b j e c t K e y & g t ; & l t ; D i a g r a m O b j e c t K e y & g t ; & l t ; K e y & g t ; C o l u m n s \ C u s t o m e r   A g e   G r p & l t ; / K e y & g t ; & l t ; / D i a g r a m O b j e c t K e y & g t ; & l t ; D i a g r a m O b j e c t K e y & g t ; & l t ; K e y & g t ; C o l u m n s \ D a t e   o f   B i r t h & l t ; / K e y & g t ; & l t ; / D i a g r a m O b j e c t K e y & g t ; & l t ; D i a g r a m O b j e c t K e y & g t ; & l t ; K e y & g t ; L i n k s \ & a m p ; l t ; C o l u m n s \ C o u n t   o f   C u s t o m e r   A g e   G r p & a m p ; g t ; - & a m p ; l t ; M e a s u r e s \ C u s t o m e r   A g e   G r p & a m p ; g t ; & l t ; / K e y & g t ; & l t ; / D i a g r a m O b j e c t K e y & g t ; & l t ; D i a g r a m O b j e c t K e y & g t ; & l t ; K e y & g t ; L i n k s \ & a m p ; l t ; C o l u m n s \ C o u n t   o f   C u s t o m e r   A g e   G r p & a m p ; g t ; - & a m p ; l t ; M e a s u r e s \ C u s t o m e r   A g e   G r p & a m p ; g t ; \ C O L U M N & l t ; / K e y & g t ; & l t ; / D i a g r a m O b j e c t K e y & g t ; & l t ; D i a g r a m O b j e c t K e y & g t ; & l t ; K e y & g t ; L i n k s \ & a m p ; l t ; C o l u m n s \ C o u n t   o f   C u s t o m e r   A g e   G r p & a m p ; g t ; - & a m p ; l t ; M e a s u r e s \ C u s t o m e r   A g e   G r p & a m p ; g t ; \ M E A S U R E & l t ; / K e y & g t ; & l t ; / D i a g r a m O b j e c t K e y & g t ; & l t ; D i a g r a m O b j e c t K e y & g t ; & l t ; K e y & g t ; L i n k s \ & a m p ; l t ; C o l u m n s \ S u m   o f   C u s t o m e r   A g e & a m p ; g t ; - & a m p ; l t ; M e a s u r e s \ C u s t o m e r   A g e & a m p ; g t ; & l t ; / K e y & g t ; & l t ; / D i a g r a m O b j e c t K e y & g t ; & l t ; D i a g r a m O b j e c t K e y & g t ; & l t ; K e y & g t ; L i n k s \ & a m p ; l t ; C o l u m n s \ S u m   o f   C u s t o m e r   A g e & a m p ; g t ; - & a m p ; l t ; M e a s u r e s \ C u s t o m e r   A g e & a m p ; g t ; \ C O L U M N & l t ; / K e y & g t ; & l t ; / D i a g r a m O b j e c t K e y & g t ; & l t ; D i a g r a m O b j e c t K e y & g t ; & l t ; K e y & g t ; L i n k s \ & a m p ; l t ; C o l u m n s \ S u m   o f   C u s t o m e r   A g e & a m p ; g t ; - & a m p ; l t ; M e a s u r e s \ C u s t o m e r   A g e & a m p ; g t ; \ M E A S U R E & l t ; / K e y & g t ; & l t ; / D i a g r a m O b j e c t K e y & g t ; & l t ; D i a g r a m O b j e c t K e y & g t ; & l t ; K e y & g t ; L i n k s \ & a m p ; l t ; C o l u m n s \ A v e r a g e   o f   C u s t o m e r   A g e & a m p ; g t ; - & a m p ; l t ; M e a s u r e s \ C u s t o m e r   A g e & a m p ; g t ; & l t ; / K e y & g t ; & l t ; / D i a g r a m O b j e c t K e y & g t ; & l t ; D i a g r a m O b j e c t K e y & g t ; & l t ; K e y & g t ; L i n k s \ & a m p ; l t ; C o l u m n s \ A v e r a g e   o f   C u s t o m e r   A g e & a m p ; g t ; - & a m p ; l t ; M e a s u r e s \ C u s t o m e r   A g e & a m p ; g t ; \ C O L U M N & l t ; / K e y & g t ; & l t ; / D i a g r a m O b j e c t K e y & g t ; & l t ; D i a g r a m O b j e c t K e y & g t ; & l t ; K e y & g t ; L i n k s \ & a m p ; l t ; C o l u m n s \ A v e r a g e   o f   C u s t o m e r   A g e & a m p ; g t ; - & a m p ; l t ; M e a s u r e s \ C u s t o m e r   A g 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 C u s t o m e r   A g e   G r p & l t ; / K e y & g t ; & l t ; / a : K e y & g t ; & l t ; a : V a l u e   i : t y p e = " M e a s u r e G r i d N o d e V i e w S t a t e " & g t ; & l t ; C o l u m n & g t ; 6 & l t ; / C o l u m n & g t ; & l t ; L a y e d O u t & g t ; t r u e & l t ; / L a y e d O u t & g t ; & l t ; W a s U I I n v i s i b l e & g t ; t r u e & l t ; / W a s U I I n v i s i b l e & g t ; & l t ; / a : V a l u e & g t ; & l t ; / a : K e y V a l u e O f D i a g r a m O b j e c t K e y a n y T y p e z b w N T n L X & g t ; & l t ; a : K e y V a l u e O f D i a g r a m O b j e c t K e y a n y T y p e z b w N T n L X & g t ; & l t ; a : K e y & g t ; & l t ; K e y & g t ; M e a s u r e s \ C o u n t   o f   C u s t o m e r   A g e   G r p \ T a g I n f o \ F o r m u l a & l t ; / K e y & g t ; & l t ; / a : K e y & g t ; & l t ; a : V a l u e   i : t y p e = " M e a s u r e G r i d V i e w S t a t e I D i a g r a m T a g A d d i t i o n a l I n f o " / & g t ; & l t ; / a : K e y V a l u e O f D i a g r a m O b j e c t K e y a n y T y p e z b w N T n L X & g t ; & l t ; a : K e y V a l u e O f D i a g r a m O b j e c t K e y a n y T y p e z b w N T n L X & g t ; & l t ; a : K e y & g t ; & l t ; K e y & g t ; M e a s u r e s \ C o u n t   o f   C u s t o m e r   A g e   G r p \ T a g I n f o \ V a l u e & l t ; / K e y & g t ; & l t ; / a : K e y & g t ; & l t ; a : V a l u e   i : t y p e = " M e a s u r e G r i d V i e w S t a t e I D i a g r a m T a g A d d i t i o n a l I n f o " / & g t ; & l t ; / a : K e y V a l u e O f D i a g r a m O b j e c t K e y a n y T y p e z b w N T n L X & g t ; & l t ; a : K e y V a l u e O f D i a g r a m O b j e c t K e y a n y T y p e z b w N T n L X & g t ; & l t ; a : K e y & g t ; & l t ; K e y & g t ; M e a s u r e s \ S u m   o f   C u s t o m e r   A g e & l t ; / K e y & g t ; & l t ; / a : K e y & g t ; & l t ; a : V a l u e   i : t y p e = " M e a s u r e G r i d N o d e V i e w S t a t e " & g t ; & l t ; C o l u m n & g t ; 4 & l t ; / C o l u m n & g t ; & l t ; L a y e d O u t & g t ; t r u e & l t ; / L a y e d O u t & g t ; & l t ; W a s U I I n v i s i b l e & g t ; t r u e & l t ; / W a s U I I n v i s i b l e & g t ; & l t ; / a : V a l u e & g t ; & l t ; / a : K e y V a l u e O f D i a g r a m O b j e c t K e y a n y T y p e z b w N T n L X & g t ; & l t ; a : K e y V a l u e O f D i a g r a m O b j e c t K e y a n y T y p e z b w N T n L X & g t ; & l t ; a : K e y & g t ; & l t ; K e y & g t ; M e a s u r e s \ S u m   o f   C u s t o m e r   A g e \ T a g I n f o \ F o r m u l a & l t ; / K e y & g t ; & l t ; / a : K e y & g t ; & l t ; a : V a l u e   i : t y p e = " M e a s u r e G r i d V i e w S t a t e I D i a g r a m T a g A d d i t i o n a l I n f o " / & g t ; & l t ; / a : K e y V a l u e O f D i a g r a m O b j e c t K e y a n y T y p e z b w N T n L X & g t ; & l t ; a : K e y V a l u e O f D i a g r a m O b j e c t K e y a n y T y p e z b w N T n L X & g t ; & l t ; a : K e y & g t ; & l t ; K e y & g t ; M e a s u r e s \ S u m   o f   C u s t o m e r   A g e \ T a g I n f o \ V a l u e & l t ; / K e y & g t ; & l t ; / a : K e y & g t ; & l t ; a : V a l u e   i : t y p e = " M e a s u r e G r i d V i e w S t a t e I D i a g r a m T a g A d d i t i o n a l I n f o " / & g t ; & l t ; / a : K e y V a l u e O f D i a g r a m O b j e c t K e y a n y T y p e z b w N T n L X & g t ; & l t ; a : K e y V a l u e O f D i a g r a m O b j e c t K e y a n y T y p e z b w N T n L X & g t ; & l t ; a : K e y & g t ; & l t ; K e y & g t ; M e a s u r e s \ A v e r a g e   o f   C u s t o m e r   A g e & l t ; / K e y & g t ; & l t ; / a : K e y & g t ; & l t ; a : V a l u e   i : t y p e = " M e a s u r e G r i d N o d e V i e w S t a t e " & g t ; & l t ; C o l u m n & g t ; 4 & l t ; / C o l u m n & g t ; & l t ; L a y e d O u t & g t ; t r u e & l t ; / L a y e d O u t & g t ; & l t ; R o w & g t ; 1 & l t ; / R o w & g t ; & l t ; W a s U I I n v i s i b l e & g t ; t r u e & l t ; / W a s U I I n v i s i b l e & g t ; & l t ; / a : V a l u e & g t ; & l t ; / a : K e y V a l u e O f D i a g r a m O b j e c t K e y a n y T y p e z b w N T n L X & g t ; & l t ; a : K e y V a l u e O f D i a g r a m O b j e c t K e y a n y T y p e z b w N T n L X & g t ; & l t ; a : K e y & g t ; & l t ; K e y & g t ; M e a s u r e s \ A v e r a g e   o f   C u s t o m e r   A g e \ T a g I n f o \ F o r m u l a & l t ; / K e y & g t ; & l t ; / a : K e y & g t ; & l t ; a : V a l u e   i : t y p e = " M e a s u r e G r i d V i e w S t a t e I D i a g r a m T a g A d d i t i o n a l I n f o " / & g t ; & l t ; / a : K e y V a l u e O f D i a g r a m O b j e c t K e y a n y T y p e z b w N T n L X & g t ; & l t ; a : K e y V a l u e O f D i a g r a m O b j e c t K e y a n y T y p e z b w N T n L X & g t ; & l t ; a : K e y & g t ; & l t ; K e y & g t ; M e a s u r e s \ A v e r a g e   o f   C u s t o m e r   A g e \ T a g I n f o \ V a l u e & l t ; / K e y & g t ; & l t ; / a : K e y & g t ; & l t ; a : V a l u e   i : t y p e = " M e a s u r e G r i d V i e w S t a t e I D i a g r a m T a g A d d i t i o n a l I n f o " / & g t ; & l t ; / a : K e y V a l u e O f D i a g r a m O b j e c t K e y a n y T y p e z b w N T n L X & g t ; & l t ; a : K e y V a l u e O f D i a g r a m O b j e c t K e y a n y T y p e z b w N T n L X & g t ; & l t ; a : K e y & g t ; & l t ; K e y & g t ; C o l u m n s \ C u s t o m e r   I D & l t ; / K e y & g t ; & l t ; / a : K e y & g t ; & l t ; a : V a l u e   i : t y p e = " M e a s u r e G r i d N o d e V i e w S t a t e " & g t ; & l t ; L a y e d O u t & g t ; t r u e & l t ; / L a y e d O u t & g t ; & l t ; / a : V a l u e & g t ; & l t ; / a : K e y V a l u e O f D i a g r a m O b j e c t K e y a n y T y p e z b w N T n L X & g t ; & l t ; a : K e y V a l u e O f D i a g r a m O b j e c t K e y a n y T y p e z b w N T n L X & g t ; & l t ; a : K e y & g t ; & l t ; K e y & g t ; C o l u m n s \ F u l l   N a m e & l t ; / K e y & g t ; & l t ; / a : K e y & g t ; & l t ; a : V a l u e 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L o c a t i o n & l t ; / K e y & g t ; & l t ; / a : K e y & g t ; & l t ; a : V a l u e   i : t y p e = " M e a s u r e G r i d N o d e V i e w S t a t e " & g t ; & l t ; C o l u m n & g t ; 3 & l t ; / C o l u m n & g t ; & l t ; L a y e d O u t & g t ; t r u e & l t ; / L a y e d O u t & g t ; & l t ; / a : V a l u e & g t ; & l t ; / a : K e y V a l u e O f D i a g r a m O b j e c t K e y a n y T y p e z b w N T n L X & g t ; & l t ; a : K e y V a l u e O f D i a g r a m O b j e c t K e y a n y T y p e z b w N T n L X & g t ; & l t ; a : K e y & g t ; & l t ; K e y & g t ; C o l u m n s \ C u s t o m e r   A g e & l t ; / K e y & g t ; & l t ; / a : K e y & g t ; & l t ; a : V a l u e   i : t y p e = " M e a s u r e G r i d N o d e V i e w S t a t e " & g t ; & l t ; C o l u m n & g t ; 4 & l t ; / C o l u m n & g t ; & l t ; L a y e d O u t & g t ; t r u e & l t ; / L a y e d O u t & g t ; & l t ; / a : V a l u e & g t ; & l t ; / a : K e y V a l u e O f D i a g r a m O b j e c t K e y a n y T y p e z b w N T n L X & g t ; & l t ; a : K e y V a l u e O f D i a g r a m O b j e c t K e y a n y T y p e z b w N T n L X & g t ; & l t ; a : K e y & g t ; & l t ; K e y & g t ; C o l u m n s \ C u s t o m e r   A g e   G r p & l t ; / K e y & g t ; & l t ; / a : K e y & g t ; & l t ; a : V a l u e   i : t y p e = " M e a s u r e G r i d N o d e V i e w S t a t e " & g t ; & l t ; C o l u m n & g t ; 6 & l t ; / C o l u m n & g t ; & l t ; L a y e d O u t & g t ; t r u e & l t ; / L a y e d O u t & g t ; & l t ; / a : V a l u e & g t ; & l t ; / a : K e y V a l u e O f D i a g r a m O b j e c t K e y a n y T y p e z b w N T n L X & g t ; & l t ; a : K e y V a l u e O f D i a g r a m O b j e c t K e y a n y T y p e z b w N T n L X & g t ; & l t ; a : K e y & g t ; & l t ; K e y & g t ; C o l u m n s \ D a t e   o f   B i r t h & l t ; / K e y & g t ; & l t ; / a : K e y & g t ; & l t ; a : V a l u e   i : t y p e = " M e a s u r e G r i d N o d e V i e w S t a t e " & g t ; & l t ; C o l u m n & g t ; 5 & l t ; / C o l u m n & g t ; & l t ; L a y e d O u t & g t ; t r u e & l t ; / L a y e d O u t & g t ; & l t ; / a : V a l u e & g t ; & l t ; / a : K e y V a l u e O f D i a g r a m O b j e c t K e y a n y T y p e z b w N T n L X & g t ; & l t ; a : K e y V a l u e O f D i a g r a m O b j e c t K e y a n y T y p e z b w N T n L X & g t ; & l t ; a : K e y & g t ; & l t ; K e y & g t ; L i n k s \ & a m p ; l t ; C o l u m n s \ C o u n t   o f   C u s t o m e r   A g e   G r p & a m p ; g t ; - & a m p ; l t ; M e a s u r e s \ C u s t o m e r   A g e   G r p & a m p ; g t ; & l t ; / K e y & g t ; & l t ; / a : K e y & g t ; & l t ; a : V a l u e   i : t y p e = " M e a s u r e G r i d V i e w S t a t e I D i a g r a m L i n k " / & g t ; & l t ; / a : K e y V a l u e O f D i a g r a m O b j e c t K e y a n y T y p e z b w N T n L X & g t ; & l t ; a : K e y V a l u e O f D i a g r a m O b j e c t K e y a n y T y p e z b w N T n L X & g t ; & l t ; a : K e y & g t ; & l t ; K e y & g t ; L i n k s \ & a m p ; l t ; C o l u m n s \ C o u n t   o f   C u s t o m e r   A g e   G r p & a m p ; g t ; - & a m p ; l t ; M e a s u r e s \ C u s t o m e r   A g e   G r p & a m p ; g t ; \ C O L U M N & l t ; / K e y & g t ; & l t ; / a : K e y & g t ; & l t ; a : V a l u e   i : t y p e = " M e a s u r e G r i d V i e w S t a t e I D i a g r a m L i n k E n d p o i n t " / & g t ; & l t ; / a : K e y V a l u e O f D i a g r a m O b j e c t K e y a n y T y p e z b w N T n L X & g t ; & l t ; a : K e y V a l u e O f D i a g r a m O b j e c t K e y a n y T y p e z b w N T n L X & g t ; & l t ; a : K e y & g t ; & l t ; K e y & g t ; L i n k s \ & a m p ; l t ; C o l u m n s \ C o u n t   o f   C u s t o m e r   A g e   G r p & a m p ; g t ; - & a m p ; l t ; M e a s u r e s \ C u s t o m e r   A g e   G r p & a m p ; g t ; \ M E A S U R E & l t ; / K e y & g t ; & l t ; / a : K e y & g t ; & l t ; a : V a l u e   i : t y p e = " M e a s u r e G r i d V i e w S t a t e I D i a g r a m L i n k E n d p o i n t " / & g t ; & l t ; / a : K e y V a l u e O f D i a g r a m O b j e c t K e y a n y T y p e z b w N T n L X & g t ; & l t ; a : K e y V a l u e O f D i a g r a m O b j e c t K e y a n y T y p e z b w N T n L X & g t ; & l t ; a : K e y & g t ; & l t ; K e y & g t ; L i n k s \ & a m p ; l t ; C o l u m n s \ S u m   o f   C u s t o m e r   A g e & a m p ; g t ; - & a m p ; l t ; M e a s u r e s \ C u s t o m e r   A g e & a m p ; g t ; & l t ; / K e y & g t ; & l t ; / a : K e y & g t ; & l t ; a : V a l u e   i : t y p e = " M e a s u r e G r i d V i e w S t a t e I D i a g r a m L i n k " / & g t ; & l t ; / a : K e y V a l u e O f D i a g r a m O b j e c t K e y a n y T y p e z b w N T n L X & g t ; & l t ; a : K e y V a l u e O f D i a g r a m O b j e c t K e y a n y T y p e z b w N T n L X & g t ; & l t ; a : K e y & g t ; & l t ; K e y & g t ; L i n k s \ & a m p ; l t ; C o l u m n s \ S u m   o f   C u s t o m e r   A g e & a m p ; g t ; - & a m p ; l t ; M e a s u r e s \ C u s t o m e r   A g e & a m p ; g t ; \ C O L U M N & l t ; / K e y & g t ; & l t ; / a : K e y & g t ; & l t ; a : V a l u e   i : t y p e = " M e a s u r e G r i d V i e w S t a t e I D i a g r a m L i n k E n d p o i n t " / & g t ; & l t ; / a : K e y V a l u e O f D i a g r a m O b j e c t K e y a n y T y p e z b w N T n L X & g t ; & l t ; a : K e y V a l u e O f D i a g r a m O b j e c t K e y a n y T y p e z b w N T n L X & g t ; & l t ; a : K e y & g t ; & l t ; K e y & g t ; L i n k s \ & a m p ; l t ; C o l u m n s \ S u m   o f   C u s t o m e r   A g e & a m p ; g t ; - & a m p ; l t ; M e a s u r e s \ C u s t o m e r   A g e & a m p ; g t ; \ M E A S U R E & l t ; / K e y & g t ; & l t ; / a : K e y & g t ; & l t ; a : V a l u e   i : t y p e = " M e a s u r e G r i d V i e w S t a t e I D i a g r a m L i n k E n d p o i n t " / & g t ; & l t ; / a : K e y V a l u e O f D i a g r a m O b j e c t K e y a n y T y p e z b w N T n L X & g t ; & l t ; a : K e y V a l u e O f D i a g r a m O b j e c t K e y a n y T y p e z b w N T n L X & g t ; & l t ; a : K e y & g t ; & l t ; K e y & g t ; L i n k s \ & a m p ; l t ; C o l u m n s \ A v e r a g e   o f   C u s t o m e r   A g e & a m p ; g t ; - & a m p ; l t ; M e a s u r e s \ C u s t o m e r   A g e & a m p ; g t ; & l t ; / K e y & g t ; & l t ; / a : K e y & g t ; & l t ; a : V a l u e   i : t y p e = " M e a s u r e G r i d V i e w S t a t e I D i a g r a m L i n k " / & g t ; & l t ; / a : K e y V a l u e O f D i a g r a m O b j e c t K e y a n y T y p e z b w N T n L X & g t ; & l t ; a : K e y V a l u e O f D i a g r a m O b j e c t K e y a n y T y p e z b w N T n L X & g t ; & l t ; a : K e y & g t ; & l t ; K e y & g t ; L i n k s \ & a m p ; l t ; C o l u m n s \ A v e r a g e   o f   C u s t o m e r   A g e & a m p ; g t ; - & a m p ; l t ; M e a s u r e s \ C u s t o m e r   A g e & a m p ; g t ; \ C O L U M N & l t ; / K e y & g t ; & l t ; / a : K e y & g t ; & l t ; a : V a l u e   i : t y p e = " M e a s u r e G r i d V i e w S t a t e I D i a g r a m L i n k E n d p o i n t " / & g t ; & l t ; / a : K e y V a l u e O f D i a g r a m O b j e c t K e y a n y T y p e z b w N T n L X & g t ; & l t ; a : K e y V a l u e O f D i a g r a m O b j e c t K e y a n y T y p e z b w N T n L X & g t ; & l t ; a : K e y & g t ; & l t ; K e y & g t ; L i n k s \ & a m p ; l t ; C o l u m n s \ A v e r a g e   o f   C u s t o m e r   A g e & a m p ; g t ; - & a m p ; l t ; M e a s u r e s \ C u s t o m e r   A g e & a m p ; g t ; \ M E A S U R E & l t ; / K e y & g t ; & l t ; / a : K e y & g t ; & l t ; a : V a l u e   i : t y p e = " M e a s u r e G r i d V i e w S t a t e I D i a g r a m L i n k E n d p o i n t " / & g t ; & l t ; / a : K e y V a l u e O f D i a g r a m O b j e c t K e y a n y T y p e z b w N T n L X & g t ; & l t ; / V i e w S t a t e s & g t ; & l t ; / D i a g r a m M a n a g e r . S e r i a l i z a b l e D i a g r a m & g t ; & l t ; / A r r a y O f D i a g r a m M a n a g e r . S e r i a l i z a b l e D i a g r a m & g t ; < / C u s t o m C o n t e n t > < / G e m i n i > 
</file>

<file path=customXml/item32.xml>��< ? x m l   v e r s i o n = " 1 . 0 "   e n c o d i n g = " U T F - 1 6 " ? > < G e m i n i   x m l n s = " h t t p : / / g e m i n i / p i v o t c u s t o m i z a t i o n / 4 1 b 9 e 8 5 7 - 0 c 6 5 - 4 f 3 7 - b 5 a b - c 6 1 f 7 9 c 3 6 d f 3 " > < 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  % < / M e a s u r e N a m e > < D i s p l a y N a m e > P r o f i t   M a r g i n   % < / 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C a l c u l a t e d F i e l d s > < S A H o s t H a s h > 0 < / S A H o s t H a s h > < G e m i n i F i e l d L i s t V i s i b l e > T r u e < / G e m i n i F i e l d L i s t V i s i b l e > < / S e t t i n g s > ] ] > < / C u s t o m C o n t e n t > < / G e m i n i > 
</file>

<file path=customXml/item33.xml>��< ? x m l   v e r s i o n = " 1 . 0 "   e n c o d i n g = " U T F - 1 6 " ? > < G e m i n i   x m l n s = " h t t p : / / g e m i n i / p i v o t c u s t o m i z a t i o n / S a n d b o x N o n E m p t y " > < C u s t o m C o n t e n t > < ! [ C D A T A [ 1 ] ] > < / C u s t o m C o n t e n t > < / G e m i n i > 
</file>

<file path=customXml/item34.xml>��< ? x m l   v e r s i o n = " 1 . 0 "   e n c o d i n g = " U T F - 1 6 " ? > < G e m i n i   x m l n s = " h t t p : / / g e m i n i / p i v o t c u s t o m i z a t i o n / T a b l e X M L _ c u s t o m e r s _ t a b l e _ 6 9 a 3 7 1 b 6 - 1 4 c 4 - 4 e e f - b d 1 5 - 4 8 4 7 6 3 4 a 2 2 d 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 / & g t ; & l t ; C o l u m n W i d t h s & g t ; & l t ; i t e m & g t ; & l t ; k e y & g t ; & l t ; s t r i n g & g t ; C u s t o m e r   I D & l t ; / s t r i n g & g t ; & l t ; / k e y & g t ; & l t ; v a l u e & g t ; & l t ; i n t & g t ; 1 1 2 & l t ; / i n t & g t ; & l t ; / v a l u e & g t ; & l t ; / i t e m & g t ; & l t ; i t e m & g t ; & l t ; k e y & g t ; & l t ; s t r i n g & g t ; F u l l   N a m e & l t ; / s t r i n g & g t ; & l t ; / k e y & g t ; & l t ; v a l u e & g t ; & l t ; i n t & g t ; 9 9 & l t ; / i n t & g t ; & l t ; / v a l u e & g t ; & l t ; / i t e m & g t ; & l t ; i t e m & g t ; & l t ; k e y & g t ; & l t ; s t r i n g & g t ; G e n d e r & l t ; / s t r i n g & g t ; & l t ; / k e y & g t ; & l t ; v a l u e & g t ; & l t ; i n t & g t ; 8 2 & l t ; / i n t & g t ; & l t ; / v a l u e & g t ; & l t ; / i t e m & g t ; & l t ; i t e m & g t ; & l t ; k e y & g t ; & l t ; s t r i n g & g t ; L o c a t i o n & l t ; / s t r i n g & g t ; & l t ; / k e y & g t ; & l t ; v a l u e & g t ; & l t ; i n t & g t ; 8 7 & l t ; / i n t & g t ; & l t ; / v a l u e & g t ; & l t ; / i t e m & g t ; & l t ; i t e m & g t ; & l t ; k e y & g t ; & l t ; s t r i n g & g t ; C u s t o m e r   A g e & l t ; / s t r i n g & g t ; & l t ; / k e y & g t ; & l t ; v a l u e & g t ; & l t ; i n t & g t ; 1 2 3 & l t ; / i n t & g t ; & l t ; / v a l u e & g t ; & l t ; / i t e m & g t ; & l t ; i t e m & g t ; & l t ; k e y & g t ; & l t ; s t r i n g & g t ; D a t e   o f   B i r t h & l t ; / s t r i n g & g t ; & l t ; / k e y & g t ; & l t ; v a l u e & g t ; & l t ; i n t & g t ; 1 1 4 & l t ; / i n t & g t ; & l t ; / v a l u e & g t ; & l t ; / i t e m & g t ; & l t ; i t e m & g t ; & l t ; k e y & g t ; & l t ; s t r i n g & g t ; C u s t o m e r   A g e   G r p & l t ; / s t r i n g & g t ; & l t ; / k e y & g t ; & l t ; v a l u e & g t ; & l t ; i n t & g t ; 1 4 8 & l t ; / i n t & g t ; & l t ; / v a l u e & g t ; & l t ; / i t e m & g t ; & l t ; / C o l u m n W i d t h s & g t ; & l t ; C o l u m n D i s p l a y I n d e x & g t ; & l t ; i t e m & g t ; & l t ; k e y & g t ; & l t ; s t r i n g & g t ; C u s t o m e r   I D & l t ; / s t r i n g & g t ; & l t ; / k e y & g t ; & l t ; v a l u e & g t ; & l t ; i n t & g t ; 0 & l t ; / i n t & g t ; & l t ; / v a l u e & g t ; & l t ; / i t e m & g t ; & l t ; i t e m & g t ; & l t ; k e y & g t ; & l t ; s t r i n g & g t ; F u l l   N a m e & l t ; / s t r i n g & g t ; & l t ; / k e y & g t ; & l t ; v a l u e & g t ; & l t ; i n t & g t ; 1 & l t ; / i n t & g t ; & l t ; / v a l u e & g t ; & l t ; / i t e m & g t ; & l t ; i t e m & g t ; & l t ; k e y & g t ; & l t ; s t r i n g & g t ; G e n d e r & l t ; / s t r i n g & g t ; & l t ; / k e y & g t ; & l t ; v a l u e & g t ; & l t ; i n t & g t ; 2 & l t ; / i n t & g t ; & l t ; / v a l u e & g t ; & l t ; / i t e m & g t ; & l t ; i t e m & g t ; & l t ; k e y & g t ; & l t ; s t r i n g & g t ; L o c a t i o n & l t ; / s t r i n g & g t ; & l t ; / k e y & g t ; & l t ; v a l u e & g t ; & l t ; i n t & g t ; 3 & l t ; / i n t & g t ; & l t ; / v a l u e & g t ; & l t ; / i t e m & g t ; & l t ; i t e m & g t ; & l t ; k e y & g t ; & l t ; s t r i n g & g t ; C u s t o m e r   A g e & l t ; / s t r i n g & g t ; & l t ; / k e y & g t ; & l t ; v a l u e & g t ; & l t ; i n t & g t ; 4 & l t ; / i n t & g t ; & l t ; / v a l u e & g t ; & l t ; / i t e m & g t ; & l t ; i t e m & g t ; & l t ; k e y & g t ; & l t ; s t r i n g & g t ; D a t e   o f   B i r t h & l t ; / s t r i n g & g t ; & l t ; / k e y & g t ; & l t ; v a l u e & g t ; & l t ; i n t & g t ; 5 & l t ; / i n t & g t ; & l t ; / v a l u e & g t ; & l t ; / i t e m & g t ; & l t ; i t e m & g t ; & l t ; k e y & g t ; & l t ; s t r i n g & g t ; C u s t o m e r   A g e   G r p & l t ; / s t r i n g & g t ; & l t ; / k e y & g t ; & l t ; v a l u e & g t ; & l t ; i n t & g t ; 6 & l t ; / i n t & g t ; & l t ; / v a l u e & g t ; & l t ; / i t e m & g t ; & l t ; / C o l u m n D i s p l a y I n d e x & g t ; & l t ; C o l u m n F r o z e n 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35.xml>��< ? x m l   v e r s i o n = " 1 . 0 "   e n c o d i n g = " U T F - 1 6 " ? > < G e m i n i   x m l n s = " h t t p : / / g e m i n i / p i v o t c u s t o m i z a t i o n / C l i e n t W i n d o w X M L " > < C u s t o m C o n t e n t > c u s t o m e r s _ t a b l e _ 6 9 a 3 7 1 b 6 - 1 4 c 4 - 4 e e f - b d 1 5 - 4 8 4 7 6 3 4 a 2 2 d a < / C u s t o m C o n t e n t > < / G e m i n i > 
</file>

<file path=customXml/item36.xml>��< ? x m l   v e r s i o n = " 1 . 0 "   e n c o d i n g = " U T F - 1 6 " ? > < G e m i n i   x m l n s = " h t t p : / / g e m i n i / p i v o t c u s t o m i z a t i o n / 8 8 2 f 1 6 b 0 - a 7 5 3 - 4 8 c c - 8 4 b a - 3 d b f 2 2 2 7 2 a 7 d " > < 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  % < / M e a s u r e N a m e > < D i s p l a y N a m e > P r o f i t   M a r g i n   % < / 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i t e m > < M e a s u r e N a m e > A v e r a g e   C u s t o m e r   A g e < / M e a s u r e N a m e > < D i s p l a y N a m e > A v e r a g e   C u s t o m e r   A g e < / D i s p l a y N a m e > < V i s i b l e > F a l s e < / V i s i b l e > < / i t e m > < i t e m > < M e a s u r e N a m e > R e t u r n   R a t e < / M e a s u r e N a m e > < D i s p l a y N a m e > R e t u r n   R a t e < / D i s p l a y N a m e > < V i s i b l e > F a l s e < / V i s i b l e > < / i t e m > < / C a l c u l a t e d F i e l d s > < S A H o s t H a s h > 0 < / S A H o s t H a s h > < G e m i n i F i e l d L i s t V i s i b l e > T r u e < / G e m i n i F i e l d L i s t V i s i b l e > < / S e t t i n g s > ] ] > < / C u s t o m C o n t e n t > < / G e m i n i > 
</file>

<file path=customXml/item37.xml>��< ? x m l   v e r s i o n = " 1 . 0 "   e n c o d i n g = " U T F - 1 6 " ? > < G e m i n i   x m l n s = " h t t p : / / g e m i n i / p i v o t c u s t o m i z a t i o n / b b f 7 4 c 7 6 - 8 4 f e - 4 3 1 d - a 7 7 2 - b d b f e 4 f 9 d 4 8 c " > < 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  % < / M e a s u r e N a m e > < D i s p l a y N a m e > P r o f i t   M a r g i n   % < / 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i t e m > < M e a s u r e N a m e > A v e r a g e   C u s t o m e r   A g e < / M e a s u r e N a m e > < D i s p l a y N a m e > A v e r a g e   C u s t o m e r   A g e < / D i s p l a y N a m e > < V i s i b l e > F a l s e < / V i s i b l e > < / i t e m > < i t e m > < M e a s u r e N a m e > R e t u r n   R a t e < / M e a s u r e N a m e > < D i s p l a y N a m e > R e t u r n   R a t e < / D i s p l a y N a m e > < V i s i b l e > F a l s e < / V i s i b l e > < / i t e m > < / C a l c u l a t e d F i e l d s > < S A H o s t H a s h > 0 < / S A H o s t H a s h > < G e m i n i F i e l d L i s t V i s i b l e > T r u e < / G e m i n i F i e l d L i s t V i s i b l e > < / S e t t i n g s > ] ] > < / C u s t o m C o n t e n t > < / G e m i n i > 
</file>

<file path=customXml/item38.xml>��< ? x m l   v e r s i o n = " 1 . 0 "   e n c o d i n g = " U T F - 1 6 " ? > < G e m i n i   x m l n s = " h t t p : / / g e m i n i / p i v o t c u s t o m i z a t i o n / T a b l e X M L _ p r o d u c t s _ t a b l e _ e 6 8 e a 6 0 3 - f 7 5 e - 4 4 f 6 - b 7 7 f - f 1 b 2 3 5 0 e b 0 1 3 " > < 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 P r o d u c t   N a m e < / s t r i n g > < / k e y > < v a l u e > < i n t > 1 2 4 < / i n t > < / v a l u e > < / i t e m > < i t e m > < k e y > < s t r i n g > C a t e g o r y < / s t r i n g > < / k e y > < v a l u e > < i n t > 9 1 < / i n t > < / v a l u e > < / i t e m > < i t e m > < k e y > < s t r i n g > S a l e s   P r i c e < / s t r i n g > < / k e y > < v a l u e > < i n t > 1 0 2 < / i n t > < / v a l u e > < / i t e m > < i t e m > < k e y > < s t r i n g > C o s t   P r i c e < / s t r i n g > < / k e y > < v a l u e > < i n t > 9 7 < / 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b f 5 e 0 a 6 f - 3 1 8 b - 4 3 6 f - b c e c - 0 1 0 1 b e 3 f 1 2 c 3 " > < 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  % < / M e a s u r e N a m e > < D i s p l a y N a m e > P r o f i t   M a r g i n   % < / 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i t e m > < M e a s u r e N a m e > A v e r a g e   C u s t o m e r   A g e < / M e a s u r e N a m e > < D i s p l a y N a m e > A v e r a g e   C u s t o m e r   A g e < / D i s p l a y N a m e > < V i s i b l e > F a l s e < / V i s i b l e > < / i t e m > < i t e m > < M e a s u r e N a m e > R e t u r n   R a t e < / M e a s u r e N a m e > < D i s p l a y N a m e > R e t u r n   R a t e < / D i s p l a y N a m e > < V i s i b l e > F a l s e < / V i s i b l e > < / i t e m > < / C a l c u l a t e d F i e l d s > < S A H o s t H a s h > 0 < / S A H o s t H a s h > < G e m i n i F i e l d L i s t V i s i b l e > T r u e < / G e m i n i F i e l d L i s t V i s i b l e > < / S e t t i n g s > ] ] > < / C u s t o m C o n t e n t > < / G e m i n i > 
</file>

<file path=customXml/item4.xml>��< ? x m l   v e r s i o n = " 1 . 0 "   e n c o d i n g = " U T F - 1 6 " ? > < G e m i n i   x m l n s = " h t t p : / / g e m i n i / p i v o t c u s t o m i z a t i o n / 5 1 7 5 b 2 a 7 - 2 1 4 b - 4 e 9 5 - 8 f 2 a - 8 a d b 6 9 9 a a e b e " > < 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  % < / M e a s u r e N a m e > < D i s p l a y N a m e > P r o f i t   M a r g i n   % < / 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C a l c u l a t e d F i e l d s > < S A H o s t H a s h > 0 < / S A H o s t H a s h > < G e m i n i F i e l d L i s t V i s i b l e > T r u e < / G e m i n i F i e l d L i s t V i s i b l e > < / S e t t i n g s > ] ] > < / C u s t o m C o n t e n t > < / G e m i n i > 
</file>

<file path=customXml/item4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1.xml>��< ? x m l   v e r s i o n = " 1 . 0 "   e n c o d i n g = " U T F - 1 6 " ? > < G e m i n i   x m l n s = " h t t p : / / g e m i n i / p i v o t c u s t o m i z a t i o n / M a n u a l C a l c M o d e " > < C u s t o m C o n t e n t > < ! [ C D A T A [ F a l s e ] ] > < / C u s t o m C o n t e n t > < / G e m i n i > 
</file>

<file path=customXml/item42.xml>��< ? x m l   v e r s i o n = " 1 . 0 "   e n c o d i n g = " U T F - 1 6 " ? > < G e m i n i   x m l n s = " h t t p : / / g e m i n i / p i v o t c u s t o m i z a t i o n / R e l a t i o n s h i p A u t o D e t e c t i o n E n a b l e d " > < C u s t o m C o n t e n t > < ! [ C D A T A [ T r u e ] ] > < / C u s t o m C o n t e n t > < / G e m i n i > 
</file>

<file path=customXml/item4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c u s t o m e r s _ t a b l e _ 6 9 a 3 7 1 b 6 - 1 4 c 4 - 4 e e f - b d 1 5 - 4 8 4 7 6 3 4 a 2 2 d a & l t ; / K e y & g t ; & l t ; V a l u e   x m l n s : a = " h t t p : / / s c h e m a s . d a t a c o n t r a c t . o r g / 2 0 0 4 / 0 7 / M i c r o s o f t . A n a l y s i s S e r v i c e s . C o m m o n " & g t ; & l t ; a : H a s F o c u s & g t ; t r u e & l t ; / a : H a s F o c u s & g t ; & l t ; a : S i z e A t D p i 9 6 & g t ; 1 4 1 & l t ; / a : S i z e A t D p i 9 6 & g t ; & l t ; a : V i s i b l e & g t ; t r u e & l t ; / a : V i s i b l e & g t ; & l t ; / V a l u e & g t ; & l t ; / K e y V a l u e O f s t r i n g S a n d b o x E d i t o r . M e a s u r e G r i d S t a t e S c d E 3 5 R y & g t ; & l t ; K e y V a l u e O f s t r i n g S a n d b o x E d i t o r . M e a s u r e G r i d S t a t e S c d E 3 5 R y & g t ; & l t ; K e y & g t ; p r o d u c t s _ t a b l e _ e 6 8 e a 6 0 3 - f 7 5 e - 4 4 f 6 - b 7 7 f - f 1 b 2 3 5 0 e b 0 1 3 & 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s a l e s _ p e r s o n s _ t a b l e _ 9 9 1 2 f 8 a 7 - 8 f 9 e - 4 d a 1 - 9 e 7 c - f 5 f a 7 2 b e 4 4 5 7 & 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m o n t h l y _ s t o r e _ t a r g e t s _ 8 7 5 1 1 e b d - 9 4 7 5 - 4 4 5 0 - 8 e e 4 - 3 6 2 4 2 c e 0 1 5 8 f & 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a t e _ 8 6 4 d 3 6 d c - 4 3 c 7 - 4 1 b d - 9 3 f 0 - 1 c 9 5 8 0 8 c a e e 9 & 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C a l c u l a t i o n s _ 0 9 5 a c 9 5 8 - 8 0 6 7 - 4 5 8 d - 8 d a f - 5 a 1 0 7 3 8 d 9 4 8 5 & 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f a c t _ t a b l e _ 4 7 b 3 3 f c 7 - 9 f 7 5 - 4 7 d 2 - 8 4 4 a - 1 9 8 3 6 4 9 2 f f 0 1 & 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5.xml>��< ? x m l   v e r s i o n = " 1 . 0 "   e n c o d i n g = " U T F - 1 6 " ? > < G e m i n i   x m l n s = " h t t p : / / g e m i n i / p i v o t c u s t o m i z a t i o n / 2 a 3 f 8 b f 2 - 1 9 9 a - 4 a 7 a - 9 d 9 b - 0 3 c 0 e 6 a 3 3 8 9 3 " > < 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  % < / M e a s u r e N a m e > < D i s p l a y N a m e > P r o f i t   M a r g i n   % < / 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C a l c u l a t e d F i e l d s > < S A H o s t H a s h > 0 < / S A H o s t H a s h > < G e m i n i F i e l d L i s t V i s i b l e > T r u e < / G e m i n i F i e l d L i s t V i s i b l e > < / S e t t i n g s > ] ] > < / C u s t o m C o n t e n t > < / G e m i n i > 
</file>

<file path=customXml/item6.xml>��< ? x m l   v e r s i o n = " 1 . 0 "   e n c o d i n g = " U T F - 1 6 " ? > < G e m i n i   x m l n s = " h t t p : / / g e m i n i / p i v o t c u s t o m i z a t i o n / 8 b a f d 3 d 3 - d 5 2 1 - 4 8 e a - a d a 0 - e 1 d c 3 1 4 9 8 9 1 f " > < 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  % < / M e a s u r e N a m e > < D i s p l a y N a m e > P r o f i t   M a r g i n   % < / 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  C u s t o m e r s < / M e a s u r e N a m e > < D i s p l a y N a m e > #   C u s t o m e r s < / D i s p l a y N a m e > < V i s i b l e > T r u e < / V i s i b l e > < / i t e m > < i t e m > < M e a s u r e N a m e > #   L o c a t i o n s < / M e a s u r e N a m e > < D i s p l a y N a m e > #   L o c a t i o n s < / D i s p l a y N a m e > < V i s i b l e > F a l s e < / V i s i b l e > < / i t e m > < / C a l c u l a t e d F i e l d s > < S A H o s t H a s h > 0 < / S A H o s t H a s h > < G e m i n i F i e l d L i s t V i s i b l e > T r u e < / G e m i n i F i e l d L i s t V i s i b l e > < / S e t t i n g s > ] ] > < / C u s t o m C o n t e n t > < / G e m i n i > 
</file>

<file path=customXml/item7.xml>��< ? x m l   v e r s i o n = " 1 . 0 "   e n c o d i n g = " U T F - 1 6 " ? > < G e m i n i   x m l n s = " h t t p : / / g e m i n i / p i v o t c u s t o m i z a t i o n / a 8 f 8 1 7 b f - 1 6 0 6 - 4 d 7 7 - 8 1 f 0 - 9 4 8 c 1 0 0 8 0 3 0 b " > < 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  % < / M e a s u r e N a m e > < D i s p l a y N a m e > P r o f i t   M a r g i n   % < / 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i t e m > < M e a s u r e N a m e > A v e r a g e   C u s t o m e r   A g e < / M e a s u r e N a m e > < D i s p l a y N a m e > A v e r a g e   C u s t o m e r   A g e < / D i s p l a y N a m e > < V i s i b l e > F a l s e < / V i s i b l e > < / i t e m > < i t e m > < M e a s u r e N a m e > R e t u r n   R a t e < / M e a s u r e N a m e > < D i s p l a y N a m e > R e t u r n   R a t e < / D i s p l a y N a m e > < V i s i b l e > T r u e < / V i s i b l e > < / i t e m > < / C a l c u l a t e d F i e l d s > < S A H o s t H a s h > 0 < / S A H o s t H a s h > < G e m i n i F i e l d L i s t V i s i b l e > T r u e < / G e m i n i F i e l d L i s t V i s i b l e > < / S e t t i n g s > ] ] > < / C u s t o m C o n t e n t > < / G e m i n i > 
</file>

<file path=customXml/item8.xml>��< ? x m l   v e r s i o n = " 1 . 0 "   e n c o d i n g = " U T F - 1 6 " ? > < G e m i n i   x m l n s = " h t t p : / / g e m i n i / p i v o t c u s t o m i z a t i o n / P o w e r P i v o t V e r s i o n " > < C u s t o m C o n t e n t > < ! [ C D A T A [ 1 1 . 0 . 9 1 6 6 . 1 8 8 ] ] > < / C u s t o m C o n t e n t > < / G e m i n i > 
</file>

<file path=customXml/item9.xml>��< ? x m l   v e r s i o n = " 1 . 0 "   e n c o d i n g = " U T F - 1 6 " ? > < G e m i n i   x m l n s = " h t t p : / / g e m i n i / p i v o t c u s t o m i z a t i o n / 0 a a 8 e f 9 a - 1 a a c - 4 2 f 3 - 9 a f 6 - 1 c b 0 d c f a 2 8 1 b " > < 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  % < / M e a s u r e N a m e > < D i s p l a y N a m e > P r o f i t   M a r g i n   % < / D i s p l a y N a m e > < V i s i b l e > F a l s e < / V i s i b l e > < / i t e m > < i t e m > < M e a s u r e N a m e > #   T r a n s a c t i o n s < / M e a s u r e N a m e > < D i s p l a y N a m e > #   T r a n s a c t i o n s < / D i s p l a y N a m e > < V i s i b l e > F a l s e < / V i s i b l e > < / i t e m > < i t e m > < M e a s u r e N a m e > T o t a l   R e f u n d < / M e a s u r e N a m e > < D i s p l a y N a m e > T o t a l   R e f u n d < / D i s p l a y N a m e > < V i s i b l e > F a l s e < / V i s i b l e > < / i t e m > < i t e m > < M e a s u r e N a m e > R e f u n d   R a t e < / M e a s u r e N a m e > < D i s p l a y N a m e > R e f u n d   R a t e < / D i s p l a y N a m e > < V i s i b l e > F a l s e < / V i s i b l e > < / i t e m > < i t e m > < M e a s u r e N a m e > #   P r o d u c t s < / M e a s u r e N a m e > < D i s p l a y N a m e > #   P r o d u c t s < / 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i t e m > < M e a s u r e N a m e > A v e r a g e   C u s t o m e r   A g e < / M e a s u r e N a m e > < D i s p l a y N a m e > A v e r a g e   C u s t o m e r   A g e 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254FF1F0-6A88-48F3-8A62-C2DE48437533}">
  <ds:schemaRefs/>
</ds:datastoreItem>
</file>

<file path=customXml/itemProps10.xml><?xml version="1.0" encoding="utf-8"?>
<ds:datastoreItem xmlns:ds="http://schemas.openxmlformats.org/officeDocument/2006/customXml" ds:itemID="{3206C8C0-1C1C-4EA4-BD92-CF76B04D2C64}">
  <ds:schemaRefs/>
</ds:datastoreItem>
</file>

<file path=customXml/itemProps11.xml><?xml version="1.0" encoding="utf-8"?>
<ds:datastoreItem xmlns:ds="http://schemas.openxmlformats.org/officeDocument/2006/customXml" ds:itemID="{FB9F008C-58FB-408C-A45F-98FED5BC0843}">
  <ds:schemaRefs/>
</ds:datastoreItem>
</file>

<file path=customXml/itemProps12.xml><?xml version="1.0" encoding="utf-8"?>
<ds:datastoreItem xmlns:ds="http://schemas.openxmlformats.org/officeDocument/2006/customXml" ds:itemID="{5EDAA567-B26C-4535-A7A2-4AB92C1F20AD}">
  <ds:schemaRefs/>
</ds:datastoreItem>
</file>

<file path=customXml/itemProps13.xml><?xml version="1.0" encoding="utf-8"?>
<ds:datastoreItem xmlns:ds="http://schemas.openxmlformats.org/officeDocument/2006/customXml" ds:itemID="{58F1F3E2-6F7F-4F35-A510-4824240A91F4}">
  <ds:schemaRefs/>
</ds:datastoreItem>
</file>

<file path=customXml/itemProps14.xml><?xml version="1.0" encoding="utf-8"?>
<ds:datastoreItem xmlns:ds="http://schemas.openxmlformats.org/officeDocument/2006/customXml" ds:itemID="{E3833D26-971C-45F5-9A9E-A9E7013A5794}">
  <ds:schemaRefs>
    <ds:schemaRef ds:uri="http://schemas.microsoft.com/DataMashup"/>
  </ds:schemaRefs>
</ds:datastoreItem>
</file>

<file path=customXml/itemProps15.xml><?xml version="1.0" encoding="utf-8"?>
<ds:datastoreItem xmlns:ds="http://schemas.openxmlformats.org/officeDocument/2006/customXml" ds:itemID="{F5B60058-1612-42C5-B257-E31B5029F67B}">
  <ds:schemaRefs/>
</ds:datastoreItem>
</file>

<file path=customXml/itemProps16.xml><?xml version="1.0" encoding="utf-8"?>
<ds:datastoreItem xmlns:ds="http://schemas.openxmlformats.org/officeDocument/2006/customXml" ds:itemID="{686A7642-A4DE-40C7-B8B3-97183ADE7171}">
  <ds:schemaRefs/>
</ds:datastoreItem>
</file>

<file path=customXml/itemProps17.xml><?xml version="1.0" encoding="utf-8"?>
<ds:datastoreItem xmlns:ds="http://schemas.openxmlformats.org/officeDocument/2006/customXml" ds:itemID="{B42EB8B8-6A79-430B-B49D-7104C23CC4AA}">
  <ds:schemaRefs/>
</ds:datastoreItem>
</file>

<file path=customXml/itemProps18.xml><?xml version="1.0" encoding="utf-8"?>
<ds:datastoreItem xmlns:ds="http://schemas.openxmlformats.org/officeDocument/2006/customXml" ds:itemID="{B5D58FC8-7B73-40E9-B8FF-2F58A3505EBA}">
  <ds:schemaRefs/>
</ds:datastoreItem>
</file>

<file path=customXml/itemProps19.xml><?xml version="1.0" encoding="utf-8"?>
<ds:datastoreItem xmlns:ds="http://schemas.openxmlformats.org/officeDocument/2006/customXml" ds:itemID="{2D6B2066-9339-469B-8BD1-5C1FBA85A5A7}">
  <ds:schemaRefs/>
</ds:datastoreItem>
</file>

<file path=customXml/itemProps2.xml><?xml version="1.0" encoding="utf-8"?>
<ds:datastoreItem xmlns:ds="http://schemas.openxmlformats.org/officeDocument/2006/customXml" ds:itemID="{2EC35239-26E9-48BD-91B2-0D428828D7A0}">
  <ds:schemaRefs/>
</ds:datastoreItem>
</file>

<file path=customXml/itemProps20.xml><?xml version="1.0" encoding="utf-8"?>
<ds:datastoreItem xmlns:ds="http://schemas.openxmlformats.org/officeDocument/2006/customXml" ds:itemID="{CDEEFC97-7760-4F25-B111-C64089C8BE60}">
  <ds:schemaRefs/>
</ds:datastoreItem>
</file>

<file path=customXml/itemProps21.xml><?xml version="1.0" encoding="utf-8"?>
<ds:datastoreItem xmlns:ds="http://schemas.openxmlformats.org/officeDocument/2006/customXml" ds:itemID="{9681A815-93D1-4E9B-B589-31E1B514B02C}">
  <ds:schemaRefs/>
</ds:datastoreItem>
</file>

<file path=customXml/itemProps22.xml><?xml version="1.0" encoding="utf-8"?>
<ds:datastoreItem xmlns:ds="http://schemas.openxmlformats.org/officeDocument/2006/customXml" ds:itemID="{CE63D369-2E4A-474C-BD0C-73D019FF6C08}">
  <ds:schemaRefs/>
</ds:datastoreItem>
</file>

<file path=customXml/itemProps23.xml><?xml version="1.0" encoding="utf-8"?>
<ds:datastoreItem xmlns:ds="http://schemas.openxmlformats.org/officeDocument/2006/customXml" ds:itemID="{BDF2A61D-32D3-482B-993B-5D7523E37236}">
  <ds:schemaRefs/>
</ds:datastoreItem>
</file>

<file path=customXml/itemProps24.xml><?xml version="1.0" encoding="utf-8"?>
<ds:datastoreItem xmlns:ds="http://schemas.openxmlformats.org/officeDocument/2006/customXml" ds:itemID="{1449878F-1D0F-4B6B-89B9-938DA6BEE635}">
  <ds:schemaRefs/>
</ds:datastoreItem>
</file>

<file path=customXml/itemProps25.xml><?xml version="1.0" encoding="utf-8"?>
<ds:datastoreItem xmlns:ds="http://schemas.openxmlformats.org/officeDocument/2006/customXml" ds:itemID="{56EB36D2-83CD-4DD1-8819-1C14BBB7CAF9}">
  <ds:schemaRefs/>
</ds:datastoreItem>
</file>

<file path=customXml/itemProps26.xml><?xml version="1.0" encoding="utf-8"?>
<ds:datastoreItem xmlns:ds="http://schemas.openxmlformats.org/officeDocument/2006/customXml" ds:itemID="{F84BD9B0-DAA0-4E5A-8708-A509050582E1}">
  <ds:schemaRefs/>
</ds:datastoreItem>
</file>

<file path=customXml/itemProps27.xml><?xml version="1.0" encoding="utf-8"?>
<ds:datastoreItem xmlns:ds="http://schemas.openxmlformats.org/officeDocument/2006/customXml" ds:itemID="{729240D9-BDD8-4A07-8AB6-CEDAB3B953C8}">
  <ds:schemaRefs/>
</ds:datastoreItem>
</file>

<file path=customXml/itemProps28.xml><?xml version="1.0" encoding="utf-8"?>
<ds:datastoreItem xmlns:ds="http://schemas.openxmlformats.org/officeDocument/2006/customXml" ds:itemID="{0790F4CF-C874-4663-BB97-ABF7FCE60E9D}">
  <ds:schemaRefs/>
</ds:datastoreItem>
</file>

<file path=customXml/itemProps29.xml><?xml version="1.0" encoding="utf-8"?>
<ds:datastoreItem xmlns:ds="http://schemas.openxmlformats.org/officeDocument/2006/customXml" ds:itemID="{9AC5A29E-365F-4785-AF87-3561A87BB934}">
  <ds:schemaRefs/>
</ds:datastoreItem>
</file>

<file path=customXml/itemProps3.xml><?xml version="1.0" encoding="utf-8"?>
<ds:datastoreItem xmlns:ds="http://schemas.openxmlformats.org/officeDocument/2006/customXml" ds:itemID="{ED0D4301-8D1A-4B05-8E45-F14A31DE439B}">
  <ds:schemaRefs/>
</ds:datastoreItem>
</file>

<file path=customXml/itemProps30.xml><?xml version="1.0" encoding="utf-8"?>
<ds:datastoreItem xmlns:ds="http://schemas.openxmlformats.org/officeDocument/2006/customXml" ds:itemID="{473A1AD1-825F-43AB-8682-C25551156615}">
  <ds:schemaRefs/>
</ds:datastoreItem>
</file>

<file path=customXml/itemProps31.xml><?xml version="1.0" encoding="utf-8"?>
<ds:datastoreItem xmlns:ds="http://schemas.openxmlformats.org/officeDocument/2006/customXml" ds:itemID="{321BCE51-1AC2-41A4-A02C-10D33EA8C079}">
  <ds:schemaRefs/>
</ds:datastoreItem>
</file>

<file path=customXml/itemProps32.xml><?xml version="1.0" encoding="utf-8"?>
<ds:datastoreItem xmlns:ds="http://schemas.openxmlformats.org/officeDocument/2006/customXml" ds:itemID="{06317244-F3BB-4313-86B8-26013EDB4CAE}">
  <ds:schemaRefs/>
</ds:datastoreItem>
</file>

<file path=customXml/itemProps33.xml><?xml version="1.0" encoding="utf-8"?>
<ds:datastoreItem xmlns:ds="http://schemas.openxmlformats.org/officeDocument/2006/customXml" ds:itemID="{9024BCC9-1010-4E83-B10D-E4C344CA563A}">
  <ds:schemaRefs/>
</ds:datastoreItem>
</file>

<file path=customXml/itemProps34.xml><?xml version="1.0" encoding="utf-8"?>
<ds:datastoreItem xmlns:ds="http://schemas.openxmlformats.org/officeDocument/2006/customXml" ds:itemID="{50A10DAC-305B-4260-AA22-95A5B6BF8E04}">
  <ds:schemaRefs/>
</ds:datastoreItem>
</file>

<file path=customXml/itemProps35.xml><?xml version="1.0" encoding="utf-8"?>
<ds:datastoreItem xmlns:ds="http://schemas.openxmlformats.org/officeDocument/2006/customXml" ds:itemID="{FD73CB24-CDA1-4502-BC89-0BBCC4E58D50}">
  <ds:schemaRefs/>
</ds:datastoreItem>
</file>

<file path=customXml/itemProps36.xml><?xml version="1.0" encoding="utf-8"?>
<ds:datastoreItem xmlns:ds="http://schemas.openxmlformats.org/officeDocument/2006/customXml" ds:itemID="{76AF328A-DA77-49B5-96BC-342DBC466F9D}">
  <ds:schemaRefs/>
</ds:datastoreItem>
</file>

<file path=customXml/itemProps37.xml><?xml version="1.0" encoding="utf-8"?>
<ds:datastoreItem xmlns:ds="http://schemas.openxmlformats.org/officeDocument/2006/customXml" ds:itemID="{3961FFD8-7D55-43A4-9319-1A84590F2C3C}">
  <ds:schemaRefs/>
</ds:datastoreItem>
</file>

<file path=customXml/itemProps38.xml><?xml version="1.0" encoding="utf-8"?>
<ds:datastoreItem xmlns:ds="http://schemas.openxmlformats.org/officeDocument/2006/customXml" ds:itemID="{BAD924B7-9F47-4A94-9521-C400E8858A4A}">
  <ds:schemaRefs/>
</ds:datastoreItem>
</file>

<file path=customXml/itemProps39.xml><?xml version="1.0" encoding="utf-8"?>
<ds:datastoreItem xmlns:ds="http://schemas.openxmlformats.org/officeDocument/2006/customXml" ds:itemID="{99ED6AA0-2C4E-4377-8440-8C65F97F39AE}">
  <ds:schemaRefs/>
</ds:datastoreItem>
</file>

<file path=customXml/itemProps4.xml><?xml version="1.0" encoding="utf-8"?>
<ds:datastoreItem xmlns:ds="http://schemas.openxmlformats.org/officeDocument/2006/customXml" ds:itemID="{9CDCFB7F-E7CD-4544-B7F2-CC92ED564D9F}">
  <ds:schemaRefs/>
</ds:datastoreItem>
</file>

<file path=customXml/itemProps40.xml><?xml version="1.0" encoding="utf-8"?>
<ds:datastoreItem xmlns:ds="http://schemas.openxmlformats.org/officeDocument/2006/customXml" ds:itemID="{77421297-6FE2-4096-A620-069B69EC9FFF}">
  <ds:schemaRefs/>
</ds:datastoreItem>
</file>

<file path=customXml/itemProps41.xml><?xml version="1.0" encoding="utf-8"?>
<ds:datastoreItem xmlns:ds="http://schemas.openxmlformats.org/officeDocument/2006/customXml" ds:itemID="{613A002E-DBB4-447A-A94B-0F7545A053EC}">
  <ds:schemaRefs/>
</ds:datastoreItem>
</file>

<file path=customXml/itemProps42.xml><?xml version="1.0" encoding="utf-8"?>
<ds:datastoreItem xmlns:ds="http://schemas.openxmlformats.org/officeDocument/2006/customXml" ds:itemID="{0ADD4DFE-7794-4EB6-B196-98AA6F555683}">
  <ds:schemaRefs/>
</ds:datastoreItem>
</file>

<file path=customXml/itemProps43.xml><?xml version="1.0" encoding="utf-8"?>
<ds:datastoreItem xmlns:ds="http://schemas.openxmlformats.org/officeDocument/2006/customXml" ds:itemID="{5209A6ED-F422-454A-A4A9-A4B569DCFA42}">
  <ds:schemaRefs/>
</ds:datastoreItem>
</file>

<file path=customXml/itemProps5.xml><?xml version="1.0" encoding="utf-8"?>
<ds:datastoreItem xmlns:ds="http://schemas.openxmlformats.org/officeDocument/2006/customXml" ds:itemID="{F33BABB5-7DEA-492E-B9AF-ED4D5C5DFD50}">
  <ds:schemaRefs/>
</ds:datastoreItem>
</file>

<file path=customXml/itemProps6.xml><?xml version="1.0" encoding="utf-8"?>
<ds:datastoreItem xmlns:ds="http://schemas.openxmlformats.org/officeDocument/2006/customXml" ds:itemID="{17236D0F-E553-46B5-BD6C-84AE279C96E4}">
  <ds:schemaRefs/>
</ds:datastoreItem>
</file>

<file path=customXml/itemProps7.xml><?xml version="1.0" encoding="utf-8"?>
<ds:datastoreItem xmlns:ds="http://schemas.openxmlformats.org/officeDocument/2006/customXml" ds:itemID="{59C7CAE3-891E-48C1-86B5-C3FB1EBE2FB0}">
  <ds:schemaRefs/>
</ds:datastoreItem>
</file>

<file path=customXml/itemProps8.xml><?xml version="1.0" encoding="utf-8"?>
<ds:datastoreItem xmlns:ds="http://schemas.openxmlformats.org/officeDocument/2006/customXml" ds:itemID="{EB6ADF45-7111-49ED-B995-389A23F3FD17}">
  <ds:schemaRefs/>
</ds:datastoreItem>
</file>

<file path=customXml/itemProps9.xml><?xml version="1.0" encoding="utf-8"?>
<ds:datastoreItem xmlns:ds="http://schemas.openxmlformats.org/officeDocument/2006/customXml" ds:itemID="{F41C00C1-9828-45BE-996E-EA7E4D7D15B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Gender Chart</vt:lpstr>
      <vt:lpstr>Analysis-3</vt:lpstr>
      <vt:lpstr>Analysis-2</vt:lpstr>
      <vt:lpstr>Waffle Chart</vt:lpstr>
      <vt:lpstr>Profit View</vt:lpstr>
      <vt:lpstr>Timeframe</vt:lpstr>
      <vt:lpstr>Store_dashboard</vt:lpstr>
      <vt:lpstr>Analysis</vt:lpstr>
      <vt:lpstr>Sheet3</vt:lpstr>
      <vt:lpstr>large_1</vt:lpstr>
      <vt:lpstr>large_2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dc:creator>
  <cp:lastModifiedBy>ca</cp:lastModifiedBy>
  <dcterms:created xsi:type="dcterms:W3CDTF">2024-04-19T04:56:37Z</dcterms:created>
  <dcterms:modified xsi:type="dcterms:W3CDTF">2024-05-11T07:33:39Z</dcterms:modified>
</cp:coreProperties>
</file>